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4"/>
  <workbookPr codeName="ThisWorkbook"/>
  <bookViews>
    <workbookView xWindow="9820" yWindow="500" windowWidth="32020" windowHeight="24580" tabRatio="500" activeTab="0"/>
  </bookViews>
  <sheets>
    <sheet name="Podsumowanie" sheetId="6" r:id="rId1"/>
    <sheet name="KALKULATOR" sheetId="1" r:id="rId2"/>
    <sheet name="Wykres rat" sheetId="8" r:id="rId3"/>
    <sheet name="Dane" sheetId="7" r:id="rId4"/>
  </sheets>
  <definedNames>
    <definedName name="Inflacja">'Dane'!$V$3:$W$255</definedName>
    <definedName name="kursNBP">#REF!</definedName>
    <definedName name="Kursy">'Dane'!$A$2:$D$289</definedName>
    <definedName name="Marza">'Dane'!$Q$3:$R$230</definedName>
    <definedName name="Oproc">'Dane'!$H$2:$L$299</definedName>
    <definedName name="waluta">'Dane'!$N$1:$O$4</definedName>
  </definedNames>
  <calcPr calcId="191029"/>
  <extLst/>
</workbook>
</file>

<file path=xl/sharedStrings.xml><?xml version="1.0" encoding="utf-8"?>
<sst xmlns="http://schemas.openxmlformats.org/spreadsheetml/2006/main" count="264" uniqueCount="168">
  <si>
    <t>Kwota kredytu w PLN</t>
  </si>
  <si>
    <t>Data udzielenia kredytu</t>
  </si>
  <si>
    <t>Okres kredytowania (mies)</t>
  </si>
  <si>
    <t xml:space="preserve">Rata naliczona </t>
  </si>
  <si>
    <t>Rata należna</t>
  </si>
  <si>
    <t>Różnica</t>
  </si>
  <si>
    <t>Rok</t>
  </si>
  <si>
    <t>CHF</t>
  </si>
  <si>
    <t>PLN</t>
  </si>
  <si>
    <t>Rata kapitałowa</t>
  </si>
  <si>
    <t>Rata odsetkowa</t>
  </si>
  <si>
    <t>Zadłużenie</t>
  </si>
  <si>
    <t>Rata całościowa</t>
  </si>
  <si>
    <t>Rat</t>
  </si>
  <si>
    <t>Suma:</t>
  </si>
  <si>
    <t>Marża banku w %</t>
  </si>
  <si>
    <t>Wcześniejsza spłata</t>
  </si>
  <si>
    <t>Okres kredytowania</t>
  </si>
  <si>
    <t>Karencja w spłacie kapitału (mies)</t>
  </si>
  <si>
    <t>&lt; - Jeżeli na początku spłacałeś tylko odsetki, to podaj tutaj liczbę miesięcy karencji w spłacie kapitału. Pole może zostać też puste.</t>
  </si>
  <si>
    <t>Spłata tylko odsetek?</t>
  </si>
  <si>
    <t>Kolejna transza kredytu</t>
  </si>
  <si>
    <t xml:space="preserve">Rata odsetkowa </t>
  </si>
  <si>
    <t>Kurs sprzedaży stosowany przez bank</t>
  </si>
  <si>
    <t>Wakacje kredytowe - spłata tylko odsetek</t>
  </si>
  <si>
    <t>Kolejne transze kredytu / wcześniejsza spłata</t>
  </si>
  <si>
    <t>`</t>
  </si>
  <si>
    <t>Wysokość zadłużenia</t>
  </si>
  <si>
    <t>Oprocentowanie</t>
  </si>
  <si>
    <t>Raty malejące</t>
  </si>
  <si>
    <t>tak</t>
  </si>
  <si>
    <t>Hipotetyczny kredyt złotowy</t>
  </si>
  <si>
    <t>Kredyt wg kursu średniego NBP</t>
  </si>
  <si>
    <t>Dzień spłaty</t>
  </si>
  <si>
    <t>WIBOR 3M</t>
  </si>
  <si>
    <t>Rata razem</t>
  </si>
  <si>
    <t>Raty należne wg banku</t>
  </si>
  <si>
    <t>Rata kredytu</t>
  </si>
  <si>
    <t>Rata po przeliczeniu wg kursu banku</t>
  </si>
  <si>
    <t>Raty bez klauzul indeksacyjnych</t>
  </si>
  <si>
    <t>Nienależna nadwyżka</t>
  </si>
  <si>
    <t>Wartość połowy spreadu</t>
  </si>
  <si>
    <t>Raty równe / malejące</t>
  </si>
  <si>
    <t>&lt;- Wybierz określony w umowie system rat spłaty kredytu - równy lub malejący.</t>
  </si>
  <si>
    <t>równe</t>
  </si>
  <si>
    <t>malejące</t>
  </si>
  <si>
    <t>raty równe</t>
  </si>
  <si>
    <t>raty malejące</t>
  </si>
  <si>
    <t>Razem rata</t>
  </si>
  <si>
    <t>Miesiąc spłaty raty</t>
  </si>
  <si>
    <t>Średniomiesięczny kurs NBP</t>
  </si>
  <si>
    <t>&lt; - Podaj datę wypłaty kredytu.</t>
  </si>
  <si>
    <t>&lt; - Podaj okres kredytowania w miesiącach (np. 20 lat = 240 miesięcy, 30 lat = 360 miesięcy). Jeżeli później wydłużyłeś/skróciłeś okres kredytowania możesz podać nową wartość w kolumnie P poczynając od odpowiedniego miesiąca.</t>
  </si>
  <si>
    <t>EUR</t>
  </si>
  <si>
    <t>LIBOR 3M CHF</t>
  </si>
  <si>
    <t>Rozliczenie kredytu bez indeksacji (tzw. odfrankowienie)</t>
  </si>
  <si>
    <t>nie dotyczy</t>
  </si>
  <si>
    <t>Rozliczenie nieważnej umowy kredytu</t>
  </si>
  <si>
    <t>&lt;-- Przy umowie bez indeksacji zakładamy, że umowa musi być wykonywana dalej, bez powiązania z kursem waluty obcej, ale przy zachowaniu oprocentowania określonego umową.</t>
  </si>
  <si>
    <t>waluta</t>
  </si>
  <si>
    <t>Aktualna wysokość miesięcznej raty spłaty kredytu</t>
  </si>
  <si>
    <t>Aktualna wysokość zadłużenia</t>
  </si>
  <si>
    <t>Suma zapłaconych rat kredytu</t>
  </si>
  <si>
    <t>Aktualna wysokość  zadłużenia</t>
  </si>
  <si>
    <t>Rata bez klauzul indeksacyjnych</t>
  </si>
  <si>
    <t xml:space="preserve">Kredyt indeksowany do </t>
  </si>
  <si>
    <t>USD</t>
  </si>
  <si>
    <t>Data</t>
  </si>
  <si>
    <t xml:space="preserve">miesięczny kurs średni NBP </t>
  </si>
  <si>
    <t>wskaźniki oprocentowania</t>
  </si>
  <si>
    <t>indeks</t>
  </si>
  <si>
    <t>LIBOR 3M USD</t>
  </si>
  <si>
    <t>EURIBOR 3M EUR</t>
  </si>
  <si>
    <t>Wysokość wskaźników LIBOR w okresie od 09.2006 za stroną mBanku. Za wcześniejszy okres wartość podana na pierwszy dzień miesiąca wg portalu Money.pl</t>
  </si>
  <si>
    <t>&lt;- Tutaj podaj walutę indeksacji: CHF, EUR lub USD.</t>
  </si>
  <si>
    <t>&lt;- Tutaj wpisz ustaloną przez bank kwotę kredytu w walucie obcej przy wypłacie. Możesz też zostawić przeliczenie automatyczne.</t>
  </si>
  <si>
    <t>&lt;- Tutaj wpisz kwotę kredytu w PLN (I transzy). Jeżeli kredyt był wypłacany w transzach, kolejne transze wpisz w arkuszu "KALKULATOR" w kolumnie R w odpowiednich miesiącach. Wcześniejsze spłaty podaj w kolumnie S. Wartości podawaj bez znaku minus.</t>
  </si>
  <si>
    <t>&lt;-- Rozliczenie kredytu wg banku, przy założeniu, że umowa jest w całości uczciwa i ważna.</t>
  </si>
  <si>
    <t>Data, od której kredyt spłacany jest w walucie</t>
  </si>
  <si>
    <t>&lt;- Tutaj podaj zastosowany przez bank kurs kupna waluty z dnia wypłaty kredytu. Możesz też zostawić przeliczenie automatyczne.</t>
  </si>
  <si>
    <t>&lt;- Tutaj podaj marżę na oprocentowaniu kredytu, która jest doliczana do stawki bazowej oprocentowania (LIBOR/EURIBOR). Możesz w kolumnie M wstawić rzeczywiste oprocentowanie stosowane w danym miesiącu przez Twój bank.</t>
  </si>
  <si>
    <t xml:space="preserve">&lt; - Jeżeli spłacasz kredyt bezpośrednio w walucie, podaj tutaj datę, od której to robisz. Możesz to pole zostawić puste. </t>
  </si>
  <si>
    <t>&lt; - Tutaj jest podana wartość, o ile kurs stosowany przez bank był gorszy od średniego kursu NBP. Domyślna wartość 3% odpowiada najczęściej stosowanemu przez banki spreadowi w wysokości 6%, ale możesz tę wartość zmienić. Możesz też wpisać ręcznie kurs stosowany przez Twój bank (koiumna D)</t>
  </si>
  <si>
    <t>Bazowa stawka oprocentowania</t>
  </si>
  <si>
    <t>Stawka bazowa + marża</t>
  </si>
  <si>
    <t>Propozycja PKO BP</t>
  </si>
  <si>
    <t>Marża ponad średnią wartość  WIBOR® 3M</t>
  </si>
  <si>
    <t>Dane KNF</t>
  </si>
  <si>
    <t>https://www.knf.gov.pl/dla_rynku/sad_polubowny_przy_KNF/mediacja/marza?articleId=72862&amp;p_id=18</t>
  </si>
  <si>
    <t>Dla okresu 2002 -2003 przyjęto marżę z umowy</t>
  </si>
  <si>
    <t>Niedopłata/nadpłata raty względem kredytu faktycznie udzielonego</t>
  </si>
  <si>
    <t>Przeciętna marża kredytu złotowego z daty udzielenia kredytu</t>
  </si>
  <si>
    <t>Aktualne rozliczenie kredytu wg banku</t>
  </si>
  <si>
    <t>Ugoda PKO BP</t>
  </si>
  <si>
    <t>Marża z umowy</t>
  </si>
  <si>
    <t>Stawki EURIBOR</t>
  </si>
  <si>
    <t>https://www.mbank.pl/indywidualny/kredyty/kredyty-hipoteczne/mam-kredyt-hipoteczny/#wibor</t>
  </si>
  <si>
    <t>Liczone przez bank wynagrodzenie za korzystanie z kapitału</t>
  </si>
  <si>
    <t>Odsetki od przeciętnego kredytu</t>
  </si>
  <si>
    <t>Wpłata rzeczywista</t>
  </si>
  <si>
    <t>Aktualna wysokość zadłużenia (PLN)</t>
  </si>
  <si>
    <t>Suma zapłaconych rat kredytu (PLN)</t>
  </si>
  <si>
    <t>Suma roszczeń banku po potrąceniu o dotychczasowe spłaty kredytu (PLN):</t>
  </si>
  <si>
    <t>Suma roszczeń banku (PLN):</t>
  </si>
  <si>
    <t>Roszczenie o zwrot kapitału (PLN):</t>
  </si>
  <si>
    <t>Roszczenie o wynagrodzenie za tzw. korzystanie z kapitału (PLN):</t>
  </si>
  <si>
    <t>Wysokość potencjalnego roszczenia banku o wynagrodzenie za korzystanie z kapitału</t>
  </si>
  <si>
    <t>%</t>
  </si>
  <si>
    <t>Skumulowany wskaźnik Inflacji do ostatniego miesiąca</t>
  </si>
  <si>
    <t>Waloryzacja spłat kredytobiorcy</t>
  </si>
  <si>
    <t>https://stat.gov.pl/obszary-tematyczne/ceny-handel/wskazniki-cen/wskazniki-cen-towarow-i-uslug-konsumpcyjnych-pot-inflacja-/miesieczne-wskazniki-cen-towarow-i-uslug-konsumpcyjnych-od-1982-roku/</t>
  </si>
  <si>
    <t>Skumulowany miesięczny wskaźnik inflacji</t>
  </si>
  <si>
    <t>Waloryzajcja wypłat kredytu</t>
  </si>
  <si>
    <t>Waloryzacja kolejnych transz</t>
  </si>
  <si>
    <t>Waloryzacja płatności wskaźnikiem inflacji</t>
  </si>
  <si>
    <t>Wartość nominalna</t>
  </si>
  <si>
    <t>Dodatkowa wartość waloryzacji wskaźnikiem inflacji</t>
  </si>
  <si>
    <t>Łącznie</t>
  </si>
  <si>
    <t>Różnica z uwzględnieniem sum nominalnych powiększonych o waloryzację</t>
  </si>
  <si>
    <t>Różnica w spłatach w wysokości nominalnej</t>
  </si>
  <si>
    <t>Wysokość kolejnych transz (PLN)</t>
  </si>
  <si>
    <t>Wysokość kredytu (lub I transzy) (PLN)</t>
  </si>
  <si>
    <t>Waloryzacja płatności obu strony umowy wskaźnikiem inflacji</t>
  </si>
  <si>
    <t>Waloryzacja kwoty kredytu (I transzy)</t>
  </si>
  <si>
    <t>Kalkulator szacuje wartość waloryzacji płatności obu stron umowy wskaźnikiem inflacji dla płatności w złotych, tak aby utrzymać siłę nabywczą kwoty nominalnej. W przypadku płatności w walucie obcej wskaźnik waloryzacji nie ma uzasadnienia, jeżeli wzrost wartości waluty obcej od płatności był wyższy niż wskaźnik inflacji.</t>
  </si>
  <si>
    <t>Różnica w wysokości kwot waloryzacji</t>
  </si>
  <si>
    <t>Korekta Euribor 3M</t>
  </si>
  <si>
    <t>Korekta Saron 3M CHF</t>
  </si>
  <si>
    <t>Porównanie różnych wariantów rozliczeń kredytu na koniec:</t>
  </si>
  <si>
    <t>Kwota wypłaconego kredytu</t>
  </si>
  <si>
    <t>Suma zapłaconych rat kredytu w PLN</t>
  </si>
  <si>
    <t>Suma zapłaconych rat kredytu w walucie</t>
  </si>
  <si>
    <t>Aktualna wartość kwot zapłaconych w walucie</t>
  </si>
  <si>
    <t>Łączna wartość spłat kredytobiorcy:</t>
  </si>
  <si>
    <t>Do zwrotu na rzecz kredytytobiorcy:</t>
  </si>
  <si>
    <t>Rozliczenie wg propozycji ugodowej KNF</t>
  </si>
  <si>
    <t>&lt;- W arkuszu KALKULATOR w kolumnie R możesz podać wartość kolejnych wypłacanych transz kredytu w PLN w odpowiednich miesiącach. W kolumnie S możesz podać wartość wcześniejszych spłat kredytu w PLN. Wartości podawaj bez znaku minus.</t>
  </si>
  <si>
    <t>&lt;- W arkuszu KALKULATOR w kolumnie Q możesz wybrać opcję "tak", jeżeli w danym miesiącu spłacałeś tylko odsetki od kredytu, bez kapitału.</t>
  </si>
  <si>
    <t>Spłata w:</t>
  </si>
  <si>
    <t>Do zwrotu na rzecz banku:</t>
  </si>
  <si>
    <t xml:space="preserve">&lt;-- Przy nieważności umowy zakładamy, że strony mają sobie nawzajem zwrócić to co otrzymały w wykonaniu tej umowy. Nie jest brane pod uwagę przedawnienie. </t>
  </si>
  <si>
    <t>Łączna korzyść kredytobiorcy (zmniejszenie zadłużenia i/lub zwrot nadpłaty)</t>
  </si>
  <si>
    <t>Suma pobranych przez bank rat kredytu</t>
  </si>
  <si>
    <t>Wysokość miesięcznej raty spłaty kredytu bez indeksacji</t>
  </si>
  <si>
    <t>Wysokość zadłużenia bez indeksacji</t>
  </si>
  <si>
    <t>Suma należnych rat kredytu bez indeksacji</t>
  </si>
  <si>
    <t>Do zwrotu na rzecz kredytobiorcy:</t>
  </si>
  <si>
    <t>Zgodnie z wyrokiem TSUE z 15.06.2023 r. (C-520/21), prawo europejskie stoi na przeszkodzie roszczeniu banku o zapłatę przez konsumenta wynagrodzenia za korzystanie z kwoty kredytu, natomiast nie stoi na przeszkodzie roszczeniu konsumenta o zapłatę wynagrodzenia za korzystanie przez bank z jego środków.</t>
  </si>
  <si>
    <t>Wysokość miesięcznej raty spłaty kredytu po ugodzie</t>
  </si>
  <si>
    <t>Wysokość zadłużenia po ugodzie</t>
  </si>
  <si>
    <t>Suma rat oraz pozostałego zadłużenia:</t>
  </si>
  <si>
    <t xml:space="preserve">&lt;-- To jest rozliczenie kredytu na warunkach proponowanych w ugodzie według zasa KNF (np. przez PKO BP). Warunki ugody zakładają oprocentowanie kredytu wg WIBOR 3M powiększonej o przeciętną marżę kredytu złotowego z miesiąca udzielenia faktycznego kredytu - wysokość można zmienić w komórce BO4 . Kwoty faktycznie zapłacone przez kredytobiorcę są porównywane z hipotetycznymi spłatami i na bieżąco zwiększają lub zmniejszają saldo zadłużenia. </t>
  </si>
  <si>
    <t>Wysokość oprocentowania po ugodzie</t>
  </si>
  <si>
    <t>Suma należnych bankowi rat kredytu po przeliczeniu</t>
  </si>
  <si>
    <t>Wysokość potencjalnego roszczenia kredytobiorcy o wynagrodzenie za korzystanie z kapitału</t>
  </si>
  <si>
    <t>Wynagrodzenie dla kredytobiorcy w oparciu o stawkę WIBOR 3M</t>
  </si>
  <si>
    <t>Skumulowana wysokość wpłat kredytobiorcy</t>
  </si>
  <si>
    <t>Odsetki za dany miesiąc wg stopy WIBOR 3M</t>
  </si>
  <si>
    <t>Skumulowana wysokość wpłat kredytobiorcy:</t>
  </si>
  <si>
    <t>Wysokość odsetek od wpłaconych kwot wg stopy WIBOR 3M</t>
  </si>
  <si>
    <t>&lt;- Wynagrodzenie dla kredytobiorcy za korzystanie przez bank z jego środków zostało obliczone w oparciu o stopę WIBOR 3M za każdy miesiąc dysponowania środkami kredytobiorcy przez bank. Na razie brak orzecznictwa sądowego, które stwierdzałoby, czy kredytobiorcy przysługuje takie wynagrodzenie, a jeżeli tak, to w jaki sposób obliczone.</t>
  </si>
  <si>
    <t>Suma roszczeń kredytobiorcy</t>
  </si>
  <si>
    <t>&lt;-- Wysokość roszczenia banku  tzw. dodatkowe wynagrodzenie za korzystanie z kapitału opiera się na wyliczeniach banków w składanych przez nich pozwach. W rzeczywistym pozwie banku wysokość tego roszczenia może być inna.</t>
  </si>
  <si>
    <t>ver. 13.13</t>
  </si>
  <si>
    <t>Roszczenie banku (PLN)</t>
  </si>
  <si>
    <t>Roszczenie kredytobiorcy (PLN)</t>
  </si>
  <si>
    <t>Różnica (minus oznacza wyższe roszczenie banku) (PLN)</t>
  </si>
  <si>
    <t xml:space="preserve">www.kancelariaczabanski.pl © Jacek Czabański 2016-2024 Użytek dozwolony wyłącznie na cele osobiste. Publikowane narzędzie ma charakter pomocniczy, a wyliczenia mają charakter orientacyjny. Dokładne wyliczenia powinny być sporządzone przez specjalistę z uwzględnieniem rzeczywiście stosowanego przez bank oprocentowania, dokładnych kwot i dat wypłat transz kredytu oraz kwot płaconych przez kredytobiorcę. Wykorzystanie do celów zawodowych i gospodarczych wymaga wcześniejszej pisemnej zgody.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</si>
</sst>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zł&quot;_);[Red]\(#,##0.00\ &quot;zł&quot;\)"/>
    <numFmt numFmtId="164" formatCode="_-* #,##0.00\ _z_ł_-;\-* #,##0.00\ _z_ł_-;_-* &quot;-&quot;??\ _z_ł_-;_-@_-"/>
    <numFmt numFmtId="165" formatCode="0.0000"/>
    <numFmt numFmtId="166" formatCode="#,##0.0000\ &quot;zł&quot;;[Red]\-#,##0.0000\ &quot;zł&quot;"/>
    <numFmt numFmtId="167" formatCode="_-* #,##0\ _z_ł_-;\-* #,##0\ _z_ł_-;_-* &quot;-&quot;??\ _z_ł_-;_-@_-"/>
    <numFmt numFmtId="168" formatCode="[$-415]mmm\ yy;@"/>
    <numFmt numFmtId="169" formatCode="[$-415]mmmm\ yy;@"/>
    <numFmt numFmtId="170" formatCode="#0.0000"/>
    <numFmt numFmtId="171" formatCode="0.0000%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1EB9B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medium"/>
      <bottom style="hair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/>
    <xf numFmtId="0" fontId="0" fillId="2" borderId="0" xfId="0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0" fontId="0" fillId="2" borderId="0" xfId="0" applyFill="1"/>
    <xf numFmtId="168" fontId="0" fillId="2" borderId="0" xfId="0" applyNumberFormat="1" applyFill="1"/>
    <xf numFmtId="9" fontId="0" fillId="2" borderId="1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7" fontId="0" fillId="2" borderId="2" xfId="20" applyNumberFormat="1" applyFont="1" applyFill="1" applyBorder="1" applyAlignment="1" applyProtection="1">
      <alignment/>
      <protection/>
    </xf>
    <xf numFmtId="4" fontId="0" fillId="2" borderId="0" xfId="0" applyNumberFormat="1" applyFill="1"/>
    <xf numFmtId="3" fontId="0" fillId="2" borderId="0" xfId="0" applyNumberFormat="1" applyFill="1"/>
    <xf numFmtId="0" fontId="0" fillId="2" borderId="2" xfId="0" applyFill="1" applyBorder="1" applyAlignment="1">
      <alignment wrapText="1"/>
    </xf>
    <xf numFmtId="168" fontId="0" fillId="2" borderId="2" xfId="0" applyNumberFormat="1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6" xfId="0" applyFill="1" applyBorder="1" applyAlignment="1">
      <alignment horizontal="center" wrapText="1"/>
    </xf>
    <xf numFmtId="4" fontId="0" fillId="2" borderId="2" xfId="0" applyNumberFormat="1" applyFill="1" applyBorder="1" applyAlignment="1">
      <alignment horizontal="center" wrapText="1"/>
    </xf>
    <xf numFmtId="4" fontId="0" fillId="2" borderId="5" xfId="0" applyNumberFormat="1" applyFill="1" applyBorder="1" applyAlignment="1">
      <alignment horizontal="center" wrapText="1"/>
    </xf>
    <xf numFmtId="4" fontId="0" fillId="2" borderId="0" xfId="0" applyNumberFormat="1" applyFill="1" applyAlignment="1">
      <alignment wrapText="1"/>
    </xf>
    <xf numFmtId="0" fontId="0" fillId="2" borderId="7" xfId="0" applyFill="1" applyBorder="1" applyAlignment="1">
      <alignment wrapText="1"/>
    </xf>
    <xf numFmtId="3" fontId="0" fillId="2" borderId="6" xfId="0" applyNumberFormat="1" applyFill="1" applyBorder="1" applyAlignment="1">
      <alignment horizontal="center" wrapText="1"/>
    </xf>
    <xf numFmtId="3" fontId="0" fillId="2" borderId="5" xfId="0" applyNumberFormat="1" applyFill="1" applyBorder="1" applyAlignment="1">
      <alignment horizontal="center" wrapText="1"/>
    </xf>
    <xf numFmtId="3" fontId="0" fillId="2" borderId="2" xfId="0" applyNumberFormat="1" applyFill="1" applyBorder="1" applyAlignment="1">
      <alignment horizontal="center" wrapText="1"/>
    </xf>
    <xf numFmtId="3" fontId="0" fillId="2" borderId="2" xfId="0" applyNumberFormat="1" applyFill="1" applyBorder="1" applyAlignment="1">
      <alignment wrapText="1"/>
    </xf>
    <xf numFmtId="0" fontId="0" fillId="2" borderId="2" xfId="0" applyFill="1" applyBorder="1" applyAlignment="1">
      <alignment horizontal="right"/>
    </xf>
    <xf numFmtId="168" fontId="0" fillId="2" borderId="2" xfId="0" applyNumberFormat="1" applyFill="1" applyBorder="1" applyAlignment="1">
      <alignment horizontal="right"/>
    </xf>
    <xf numFmtId="166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0" fontId="0" fillId="2" borderId="7" xfId="0" applyFill="1" applyBorder="1"/>
    <xf numFmtId="0" fontId="0" fillId="2" borderId="2" xfId="0" applyFill="1" applyBorder="1"/>
    <xf numFmtId="168" fontId="0" fillId="2" borderId="2" xfId="0" applyNumberFormat="1" applyFill="1" applyBorder="1"/>
    <xf numFmtId="10" fontId="0" fillId="3" borderId="8" xfId="0" applyNumberFormat="1" applyFill="1" applyBorder="1" applyAlignment="1" applyProtection="1">
      <alignment horizontal="center"/>
      <protection locked="0"/>
    </xf>
    <xf numFmtId="167" fontId="0" fillId="3" borderId="6" xfId="20" applyNumberFormat="1" applyFont="1" applyFill="1" applyBorder="1" applyAlignment="1" applyProtection="1">
      <alignment/>
      <protection locked="0"/>
    </xf>
    <xf numFmtId="167" fontId="0" fillId="3" borderId="5" xfId="20" applyNumberFormat="1" applyFont="1" applyFill="1" applyBorder="1" applyAlignment="1" applyProtection="1">
      <alignment/>
      <protection locked="0"/>
    </xf>
    <xf numFmtId="3" fontId="0" fillId="3" borderId="5" xfId="20" applyNumberFormat="1" applyFont="1" applyFill="1" applyBorder="1" applyAlignment="1" applyProtection="1">
      <alignment/>
      <protection locked="0"/>
    </xf>
    <xf numFmtId="3" fontId="0" fillId="3" borderId="9" xfId="20" applyNumberFormat="1" applyFont="1" applyFill="1" applyBorder="1" applyAlignment="1" applyProtection="1">
      <alignment/>
      <protection locked="0"/>
    </xf>
    <xf numFmtId="14" fontId="0" fillId="2" borderId="0" xfId="0" applyNumberFormat="1" applyFill="1"/>
    <xf numFmtId="10" fontId="0" fillId="2" borderId="0" xfId="0" applyNumberFormat="1" applyFill="1"/>
    <xf numFmtId="1" fontId="0" fillId="2" borderId="2" xfId="0" applyNumberFormat="1" applyFill="1" applyBorder="1"/>
    <xf numFmtId="3" fontId="0" fillId="3" borderId="10" xfId="20" applyNumberFormat="1" applyFont="1" applyFill="1" applyBorder="1" applyAlignment="1" applyProtection="1">
      <alignment/>
      <protection locked="0"/>
    </xf>
    <xf numFmtId="3" fontId="0" fillId="3" borderId="11" xfId="20" applyNumberFormat="1" applyFont="1" applyFill="1" applyBorder="1" applyAlignment="1" applyProtection="1">
      <alignment/>
      <protection locked="0"/>
    </xf>
    <xf numFmtId="167" fontId="0" fillId="2" borderId="0" xfId="20" applyNumberFormat="1" applyFont="1" applyFill="1" applyAlignment="1" applyProtection="1">
      <alignment/>
      <protection/>
    </xf>
    <xf numFmtId="3" fontId="0" fillId="2" borderId="0" xfId="20" applyNumberFormat="1" applyFont="1" applyFill="1" applyAlignment="1" applyProtection="1">
      <alignment/>
      <protection/>
    </xf>
    <xf numFmtId="4" fontId="0" fillId="2" borderId="0" xfId="20" applyNumberFormat="1" applyFont="1" applyFill="1" applyAlignment="1" applyProtection="1">
      <alignment/>
      <protection/>
    </xf>
    <xf numFmtId="4" fontId="0" fillId="2" borderId="0" xfId="0" applyNumberFormat="1" applyFill="1" applyAlignment="1">
      <alignment horizontal="center"/>
    </xf>
    <xf numFmtId="0" fontId="5" fillId="2" borderId="0" xfId="0" applyFont="1" applyFill="1"/>
    <xf numFmtId="168" fontId="5" fillId="2" borderId="0" xfId="0" applyNumberFormat="1" applyFont="1" applyFill="1"/>
    <xf numFmtId="0" fontId="5" fillId="2" borderId="0" xfId="0" applyFont="1" applyFill="1" applyAlignment="1">
      <alignment horizontal="center"/>
    </xf>
    <xf numFmtId="167" fontId="5" fillId="2" borderId="0" xfId="20" applyNumberFormat="1" applyFont="1" applyFill="1" applyAlignment="1" applyProtection="1">
      <alignment/>
      <protection/>
    </xf>
    <xf numFmtId="3" fontId="5" fillId="2" borderId="0" xfId="20" applyNumberFormat="1" applyFont="1" applyFill="1" applyAlignment="1" applyProtection="1">
      <alignment/>
      <protection/>
    </xf>
    <xf numFmtId="4" fontId="5" fillId="2" borderId="0" xfId="20" applyNumberFormat="1" applyFont="1" applyFill="1" applyAlignment="1" applyProtection="1">
      <alignment/>
      <protection/>
    </xf>
    <xf numFmtId="4" fontId="5" fillId="2" borderId="0" xfId="0" applyNumberFormat="1" applyFont="1" applyFill="1"/>
    <xf numFmtId="3" fontId="5" fillId="2" borderId="0" xfId="0" applyNumberFormat="1" applyFont="1" applyFill="1"/>
    <xf numFmtId="0" fontId="6" fillId="2" borderId="12" xfId="0" applyFont="1" applyFill="1" applyBorder="1"/>
    <xf numFmtId="0" fontId="6" fillId="2" borderId="13" xfId="0" applyFont="1" applyFill="1" applyBorder="1"/>
    <xf numFmtId="3" fontId="6" fillId="3" borderId="7" xfId="0" applyNumberFormat="1" applyFont="1" applyFill="1" applyBorder="1" applyProtection="1">
      <protection locked="0"/>
    </xf>
    <xf numFmtId="0" fontId="6" fillId="2" borderId="14" xfId="0" applyFont="1" applyFill="1" applyBorder="1"/>
    <xf numFmtId="0" fontId="6" fillId="2" borderId="15" xfId="0" applyFont="1" applyFill="1" applyBorder="1"/>
    <xf numFmtId="10" fontId="6" fillId="3" borderId="7" xfId="0" applyNumberFormat="1" applyFont="1" applyFill="1" applyBorder="1" applyProtection="1">
      <protection locked="0"/>
    </xf>
    <xf numFmtId="14" fontId="6" fillId="3" borderId="7" xfId="0" applyNumberFormat="1" applyFont="1" applyFill="1" applyBorder="1" applyProtection="1">
      <protection locked="0"/>
    </xf>
    <xf numFmtId="1" fontId="6" fillId="3" borderId="7" xfId="0" applyNumberFormat="1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7" xfId="0" applyFont="1" applyFill="1" applyBorder="1" applyAlignment="1" applyProtection="1">
      <alignment horizontal="right"/>
      <protection locked="0"/>
    </xf>
    <xf numFmtId="0" fontId="5" fillId="2" borderId="15" xfId="0" applyFont="1" applyFill="1" applyBorder="1"/>
    <xf numFmtId="9" fontId="6" fillId="3" borderId="7" xfId="0" applyNumberFormat="1" applyFont="1" applyFill="1" applyBorder="1" applyProtection="1">
      <protection locked="0"/>
    </xf>
    <xf numFmtId="9" fontId="5" fillId="2" borderId="12" xfId="0" applyNumberFormat="1" applyFont="1" applyFill="1" applyBorder="1"/>
    <xf numFmtId="0" fontId="5" fillId="2" borderId="16" xfId="0" applyFont="1" applyFill="1" applyBorder="1"/>
    <xf numFmtId="0" fontId="6" fillId="2" borderId="0" xfId="0" applyFont="1" applyFill="1"/>
    <xf numFmtId="9" fontId="5" fillId="2" borderId="0" xfId="0" applyNumberFormat="1" applyFont="1" applyFill="1"/>
    <xf numFmtId="4" fontId="6" fillId="2" borderId="0" xfId="0" applyNumberFormat="1" applyFont="1" applyFill="1"/>
    <xf numFmtId="165" fontId="5" fillId="2" borderId="3" xfId="0" applyNumberFormat="1" applyFont="1" applyFill="1" applyBorder="1" applyAlignment="1" applyProtection="1">
      <alignment horizontal="center"/>
      <protection locked="0"/>
    </xf>
    <xf numFmtId="165" fontId="5" fillId="3" borderId="8" xfId="0" applyNumberFormat="1" applyFont="1" applyFill="1" applyBorder="1" applyAlignment="1" applyProtection="1">
      <alignment horizontal="center"/>
      <protection locked="0"/>
    </xf>
    <xf numFmtId="165" fontId="5" fillId="3" borderId="17" xfId="0" applyNumberFormat="1" applyFont="1" applyFill="1" applyBorder="1" applyAlignment="1" applyProtection="1">
      <alignment horizontal="center"/>
      <protection locked="0"/>
    </xf>
    <xf numFmtId="167" fontId="0" fillId="3" borderId="18" xfId="20" applyNumberFormat="1" applyFont="1" applyFill="1" applyBorder="1" applyAlignment="1" applyProtection="1">
      <alignment wrapText="1"/>
      <protection locked="0"/>
    </xf>
    <xf numFmtId="167" fontId="0" fillId="3" borderId="19" xfId="20" applyNumberFormat="1" applyFont="1" applyFill="1" applyBorder="1" applyAlignment="1" applyProtection="1">
      <alignment wrapText="1"/>
      <protection locked="0"/>
    </xf>
    <xf numFmtId="3" fontId="0" fillId="3" borderId="19" xfId="20" applyNumberFormat="1" applyFont="1" applyFill="1" applyBorder="1" applyAlignment="1" applyProtection="1">
      <alignment wrapText="1"/>
      <protection locked="0"/>
    </xf>
    <xf numFmtId="3" fontId="0" fillId="3" borderId="20" xfId="20" applyNumberFormat="1" applyFont="1" applyFill="1" applyBorder="1" applyAlignment="1" applyProtection="1">
      <alignment wrapText="1"/>
      <protection locked="0"/>
    </xf>
    <xf numFmtId="4" fontId="0" fillId="2" borderId="6" xfId="20" applyNumberFormat="1" applyFont="1" applyFill="1" applyBorder="1" applyAlignment="1" applyProtection="1">
      <alignment wrapText="1"/>
      <protection locked="0"/>
    </xf>
    <xf numFmtId="4" fontId="0" fillId="2" borderId="2" xfId="20" applyNumberFormat="1" applyFont="1" applyFill="1" applyBorder="1" applyAlignment="1" applyProtection="1">
      <alignment wrapText="1"/>
      <protection locked="0"/>
    </xf>
    <xf numFmtId="4" fontId="0" fillId="2" borderId="2" xfId="0" applyNumberFormat="1" applyFill="1" applyBorder="1" applyAlignment="1" applyProtection="1">
      <alignment horizontal="center" wrapText="1"/>
      <protection locked="0"/>
    </xf>
    <xf numFmtId="4" fontId="0" fillId="2" borderId="5" xfId="0" applyNumberFormat="1" applyFill="1" applyBorder="1" applyAlignment="1" applyProtection="1">
      <alignment horizontal="center" wrapText="1"/>
      <protection locked="0"/>
    </xf>
    <xf numFmtId="4" fontId="0" fillId="2" borderId="6" xfId="20" applyNumberFormat="1" applyFont="1" applyFill="1" applyBorder="1" applyAlignment="1" applyProtection="1">
      <alignment/>
      <protection locked="0"/>
    </xf>
    <xf numFmtId="4" fontId="0" fillId="2" borderId="2" xfId="20" applyNumberFormat="1" applyFont="1" applyFill="1" applyBorder="1" applyAlignment="1" applyProtection="1">
      <alignment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21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0" fontId="0" fillId="2" borderId="3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4" fontId="0" fillId="2" borderId="9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2" borderId="3" xfId="0" applyFont="1" applyFill="1" applyBorder="1"/>
    <xf numFmtId="0" fontId="6" fillId="2" borderId="0" xfId="0" applyFont="1" applyFill="1" applyAlignment="1">
      <alignment horizontal="left"/>
    </xf>
    <xf numFmtId="168" fontId="7" fillId="4" borderId="2" xfId="0" applyNumberFormat="1" applyFont="1" applyFill="1" applyBorder="1"/>
    <xf numFmtId="168" fontId="7" fillId="4" borderId="22" xfId="0" applyNumberFormat="1" applyFont="1" applyFill="1" applyBorder="1"/>
    <xf numFmtId="0" fontId="5" fillId="2" borderId="0" xfId="0" applyFont="1" applyFill="1"/>
    <xf numFmtId="3" fontId="6" fillId="3" borderId="7" xfId="0" applyNumberFormat="1" applyFont="1" applyFill="1" applyBorder="1" applyAlignment="1" applyProtection="1">
      <alignment horizontal="right"/>
      <protection locked="0"/>
    </xf>
    <xf numFmtId="3" fontId="5" fillId="2" borderId="2" xfId="0" applyNumberFormat="1" applyFont="1" applyFill="1" applyBorder="1" applyAlignment="1">
      <alignment horizontal="right" wrapText="1"/>
    </xf>
    <xf numFmtId="3" fontId="0" fillId="2" borderId="3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68" fontId="0" fillId="0" borderId="2" xfId="0" applyNumberFormat="1" applyBorder="1" applyAlignment="1">
      <alignment horizontal="right"/>
    </xf>
    <xf numFmtId="168" fontId="7" fillId="0" borderId="2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165" fontId="5" fillId="0" borderId="2" xfId="0" applyNumberFormat="1" applyFont="1" applyBorder="1" applyAlignment="1" applyProtection="1">
      <alignment horizontal="right"/>
      <protection locked="0"/>
    </xf>
    <xf numFmtId="165" fontId="0" fillId="0" borderId="2" xfId="0" applyNumberFormat="1" applyBorder="1" applyAlignment="1" applyProtection="1">
      <alignment horizontal="right"/>
      <protection locked="0"/>
    </xf>
    <xf numFmtId="165" fontId="5" fillId="0" borderId="2" xfId="0" applyNumberFormat="1" applyFont="1" applyBorder="1" applyAlignment="1">
      <alignment horizontal="right"/>
    </xf>
    <xf numFmtId="10" fontId="0" fillId="0" borderId="2" xfId="0" applyNumberFormat="1" applyBorder="1" applyAlignment="1" applyProtection="1">
      <alignment horizontal="right"/>
      <protection locked="0"/>
    </xf>
    <xf numFmtId="10" fontId="0" fillId="0" borderId="2" xfId="0" applyNumberFormat="1" applyBorder="1" applyAlignment="1">
      <alignment horizontal="right"/>
    </xf>
    <xf numFmtId="10" fontId="0" fillId="0" borderId="2" xfId="25" applyNumberFormat="1" applyFont="1" applyFill="1" applyBorder="1" applyAlignment="1" applyProtection="1">
      <alignment horizontal="right"/>
      <protection locked="0"/>
    </xf>
    <xf numFmtId="10" fontId="0" fillId="0" borderId="2" xfId="25" applyNumberFormat="1" applyFont="1" applyBorder="1"/>
    <xf numFmtId="0" fontId="5" fillId="2" borderId="0" xfId="0" applyFont="1" applyFill="1" applyAlignment="1">
      <alignment horizontal="left"/>
    </xf>
    <xf numFmtId="0" fontId="6" fillId="2" borderId="14" xfId="0" applyFont="1" applyFill="1" applyBorder="1"/>
    <xf numFmtId="0" fontId="6" fillId="2" borderId="0" xfId="0" applyFont="1" applyFill="1"/>
    <xf numFmtId="10" fontId="8" fillId="0" borderId="23" xfId="0" applyNumberFormat="1" applyFont="1" applyBorder="1" applyAlignment="1">
      <alignment horizontal="right"/>
    </xf>
    <xf numFmtId="10" fontId="8" fillId="0" borderId="24" xfId="0" applyNumberFormat="1" applyFont="1" applyBorder="1" applyAlignment="1">
      <alignment horizontal="right"/>
    </xf>
    <xf numFmtId="10" fontId="8" fillId="0" borderId="23" xfId="25" applyNumberFormat="1" applyFont="1" applyBorder="1"/>
    <xf numFmtId="10" fontId="8" fillId="0" borderId="24" xfId="25" applyNumberFormat="1" applyFont="1" applyBorder="1"/>
    <xf numFmtId="0" fontId="2" fillId="0" borderId="0" xfId="22" applyFill="1" applyAlignment="1" applyProtection="1">
      <alignment horizontal="left"/>
      <protection/>
    </xf>
    <xf numFmtId="10" fontId="0" fillId="0" borderId="0" xfId="0" applyNumberFormat="1" applyAlignment="1">
      <alignment horizontal="right"/>
    </xf>
    <xf numFmtId="0" fontId="4" fillId="2" borderId="0" xfId="0" applyFont="1" applyFill="1" applyAlignment="1">
      <alignment horizontal="right"/>
    </xf>
    <xf numFmtId="4" fontId="0" fillId="2" borderId="2" xfId="0" applyNumberFormat="1" applyFill="1" applyBorder="1" applyAlignment="1">
      <alignment wrapText="1"/>
    </xf>
    <xf numFmtId="10" fontId="0" fillId="2" borderId="2" xfId="25" applyNumberFormat="1" applyFont="1" applyFill="1" applyBorder="1" applyProtection="1">
      <protection/>
    </xf>
    <xf numFmtId="4" fontId="0" fillId="2" borderId="2" xfId="0" applyNumberFormat="1" applyFill="1" applyBorder="1"/>
    <xf numFmtId="0" fontId="4" fillId="2" borderId="2" xfId="0" applyFont="1" applyFill="1" applyBorder="1"/>
    <xf numFmtId="3" fontId="4" fillId="2" borderId="0" xfId="0" applyNumberFormat="1" applyFont="1" applyFill="1"/>
    <xf numFmtId="0" fontId="0" fillId="5" borderId="25" xfId="0" applyFill="1" applyBorder="1"/>
    <xf numFmtId="0" fontId="0" fillId="5" borderId="11" xfId="0" applyFill="1" applyBorder="1" applyAlignment="1">
      <alignment horizontal="right"/>
    </xf>
    <xf numFmtId="4" fontId="0" fillId="5" borderId="10" xfId="0" applyNumberFormat="1" applyFill="1" applyBorder="1"/>
    <xf numFmtId="0" fontId="0" fillId="5" borderId="26" xfId="0" applyFill="1" applyBorder="1"/>
    <xf numFmtId="10" fontId="0" fillId="5" borderId="21" xfId="25" applyNumberFormat="1" applyFont="1" applyFill="1" applyBorder="1"/>
    <xf numFmtId="0" fontId="0" fillId="5" borderId="21" xfId="0" applyFill="1" applyBorder="1"/>
    <xf numFmtId="0" fontId="6" fillId="6" borderId="25" xfId="0" applyFont="1" applyFill="1" applyBorder="1"/>
    <xf numFmtId="4" fontId="5" fillId="6" borderId="1" xfId="0" applyNumberFormat="1" applyFont="1" applyFill="1" applyBorder="1" applyAlignment="1">
      <alignment horizontal="right"/>
    </xf>
    <xf numFmtId="4" fontId="5" fillId="7" borderId="22" xfId="0" applyNumberFormat="1" applyFont="1" applyFill="1" applyBorder="1" applyAlignment="1">
      <alignment horizontal="right"/>
    </xf>
    <xf numFmtId="0" fontId="6" fillId="2" borderId="9" xfId="0" applyFont="1" applyFill="1" applyBorder="1"/>
    <xf numFmtId="0" fontId="6" fillId="2" borderId="9" xfId="0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right"/>
    </xf>
    <xf numFmtId="169" fontId="6" fillId="2" borderId="0" xfId="0" applyNumberFormat="1" applyFont="1" applyFill="1"/>
    <xf numFmtId="0" fontId="4" fillId="5" borderId="10" xfId="0" applyFont="1" applyFill="1" applyBorder="1" applyAlignment="1">
      <alignment horizontal="right"/>
    </xf>
    <xf numFmtId="0" fontId="0" fillId="5" borderId="27" xfId="0" applyFill="1" applyBorder="1" applyAlignment="1">
      <alignment horizontal="right"/>
    </xf>
    <xf numFmtId="4" fontId="0" fillId="5" borderId="1" xfId="0" applyNumberFormat="1" applyFill="1" applyBorder="1"/>
    <xf numFmtId="0" fontId="0" fillId="5" borderId="22" xfId="0" applyFill="1" applyBorder="1"/>
    <xf numFmtId="8" fontId="0" fillId="2" borderId="0" xfId="0" applyNumberFormat="1" applyFill="1"/>
    <xf numFmtId="0" fontId="0" fillId="2" borderId="0" xfId="0" applyFill="1" applyAlignment="1">
      <alignment horizontal="right"/>
    </xf>
    <xf numFmtId="165" fontId="6" fillId="8" borderId="7" xfId="0" applyNumberFormat="1" applyFont="1" applyFill="1" applyBorder="1" applyProtection="1">
      <protection locked="0"/>
    </xf>
    <xf numFmtId="0" fontId="6" fillId="2" borderId="0" xfId="0" applyFont="1" applyFill="1" applyAlignment="1">
      <alignment horizontal="right"/>
    </xf>
    <xf numFmtId="170" fontId="0" fillId="0" borderId="28" xfId="0" applyNumberFormat="1" applyBorder="1"/>
    <xf numFmtId="10" fontId="9" fillId="0" borderId="0" xfId="0" applyNumberFormat="1" applyFont="1"/>
    <xf numFmtId="170" fontId="0" fillId="0" borderId="29" xfId="0" applyNumberFormat="1" applyBorder="1"/>
    <xf numFmtId="10" fontId="7" fillId="0" borderId="0" xfId="0" applyNumberFormat="1" applyFont="1"/>
    <xf numFmtId="10" fontId="10" fillId="0" borderId="0" xfId="0" applyNumberFormat="1" applyFont="1"/>
    <xf numFmtId="10" fontId="7" fillId="0" borderId="30" xfId="0" applyNumberFormat="1" applyFont="1" applyBorder="1"/>
    <xf numFmtId="4" fontId="0" fillId="2" borderId="6" xfId="0" applyNumberForma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/>
    </xf>
    <xf numFmtId="0" fontId="4" fillId="2" borderId="0" xfId="0" applyFont="1" applyFill="1"/>
    <xf numFmtId="0" fontId="0" fillId="9" borderId="0" xfId="0" applyFill="1"/>
    <xf numFmtId="0" fontId="4" fillId="9" borderId="0" xfId="0" applyFont="1" applyFill="1" applyAlignment="1">
      <alignment horizontal="right" wrapText="1"/>
    </xf>
    <xf numFmtId="0" fontId="4" fillId="9" borderId="2" xfId="0" applyFont="1" applyFill="1" applyBorder="1" applyAlignment="1">
      <alignment horizontal="right" wrapText="1"/>
    </xf>
    <xf numFmtId="4" fontId="0" fillId="9" borderId="2" xfId="0" applyNumberFormat="1" applyFill="1" applyBorder="1" applyAlignment="1">
      <alignment horizontal="right"/>
    </xf>
    <xf numFmtId="4" fontId="0" fillId="9" borderId="2" xfId="0" applyNumberFormat="1" applyFill="1" applyBorder="1"/>
    <xf numFmtId="40" fontId="0" fillId="9" borderId="2" xfId="0" applyNumberFormat="1" applyFill="1" applyBorder="1"/>
    <xf numFmtId="0" fontId="2" fillId="0" borderId="0" xfId="22" applyAlignment="1" applyProtection="1">
      <alignment horizontal="left"/>
      <protection/>
    </xf>
    <xf numFmtId="0" fontId="4" fillId="9" borderId="0" xfId="0" applyFont="1" applyFill="1" applyAlignment="1">
      <alignment wrapText="1"/>
    </xf>
    <xf numFmtId="0" fontId="4" fillId="9" borderId="0" xfId="0" applyFont="1" applyFill="1"/>
    <xf numFmtId="4" fontId="4" fillId="9" borderId="2" xfId="0" applyNumberFormat="1" applyFont="1" applyFill="1" applyBorder="1" applyAlignment="1">
      <alignment horizontal="right" wrapText="1"/>
    </xf>
    <xf numFmtId="10" fontId="11" fillId="0" borderId="0" xfId="0" applyNumberFormat="1" applyFont="1"/>
    <xf numFmtId="171" fontId="0" fillId="0" borderId="0" xfId="0" applyNumberFormat="1" applyAlignment="1">
      <alignment horizontal="right"/>
    </xf>
    <xf numFmtId="0" fontId="0" fillId="2" borderId="0" xfId="0" applyFill="1" applyAlignment="1">
      <alignment horizontal="center" wrapText="1"/>
    </xf>
    <xf numFmtId="4" fontId="0" fillId="2" borderId="0" xfId="0" applyNumberFormat="1" applyFill="1" applyAlignment="1">
      <alignment horizontal="center" wrapText="1"/>
    </xf>
    <xf numFmtId="4" fontId="5" fillId="2" borderId="2" xfId="0" applyNumberFormat="1" applyFont="1" applyFill="1" applyBorder="1" applyAlignment="1">
      <alignment horizontal="right" wrapText="1"/>
    </xf>
    <xf numFmtId="4" fontId="5" fillId="10" borderId="2" xfId="0" applyNumberFormat="1" applyFont="1" applyFill="1" applyBorder="1" applyAlignment="1">
      <alignment horizontal="right"/>
    </xf>
    <xf numFmtId="4" fontId="5" fillId="10" borderId="2" xfId="0" applyNumberFormat="1" applyFont="1" applyFill="1" applyBorder="1"/>
    <xf numFmtId="4" fontId="5" fillId="2" borderId="2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4" fontId="5" fillId="2" borderId="0" xfId="0" applyNumberFormat="1" applyFont="1" applyFill="1" applyAlignment="1">
      <alignment horizontal="right"/>
    </xf>
    <xf numFmtId="0" fontId="5" fillId="2" borderId="31" xfId="0" applyFont="1" applyFill="1" applyBorder="1" applyAlignment="1">
      <alignment horizontal="right" wrapText="1"/>
    </xf>
    <xf numFmtId="4" fontId="5" fillId="2" borderId="31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10" borderId="5" xfId="0" applyFont="1" applyFill="1" applyBorder="1" applyAlignment="1">
      <alignment horizontal="right"/>
    </xf>
    <xf numFmtId="0" fontId="6" fillId="10" borderId="3" xfId="0" applyFont="1" applyFill="1" applyBorder="1"/>
    <xf numFmtId="0" fontId="6" fillId="7" borderId="3" xfId="0" applyFont="1" applyFill="1" applyBorder="1"/>
    <xf numFmtId="0" fontId="4" fillId="2" borderId="31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40" fontId="0" fillId="2" borderId="31" xfId="0" applyNumberFormat="1" applyFill="1" applyBorder="1"/>
    <xf numFmtId="40" fontId="0" fillId="2" borderId="0" xfId="0" applyNumberFormat="1" applyFill="1"/>
    <xf numFmtId="10" fontId="0" fillId="2" borderId="0" xfId="25" applyNumberFormat="1" applyFont="1" applyFill="1" applyBorder="1"/>
    <xf numFmtId="4" fontId="0" fillId="2" borderId="31" xfId="0" applyNumberFormat="1" applyFill="1" applyBorder="1"/>
    <xf numFmtId="0" fontId="0" fillId="2" borderId="31" xfId="0" applyFill="1" applyBorder="1"/>
    <xf numFmtId="10" fontId="0" fillId="5" borderId="1" xfId="25" applyNumberFormat="1" applyFont="1" applyFill="1" applyBorder="1"/>
    <xf numFmtId="0" fontId="6" fillId="7" borderId="9" xfId="0" applyFont="1" applyFill="1" applyBorder="1" applyAlignment="1">
      <alignment horizontal="right"/>
    </xf>
    <xf numFmtId="4" fontId="5" fillId="7" borderId="5" xfId="0" applyNumberFormat="1" applyFont="1" applyFill="1" applyBorder="1" applyAlignment="1">
      <alignment horizontal="right"/>
    </xf>
    <xf numFmtId="0" fontId="0" fillId="9" borderId="0" xfId="0" applyFill="1" applyAlignment="1">
      <alignment horizontal="right"/>
    </xf>
    <xf numFmtId="168" fontId="0" fillId="0" borderId="1" xfId="0" applyNumberFormat="1" applyBorder="1" applyAlignment="1">
      <alignment horizontal="right"/>
    </xf>
    <xf numFmtId="170" fontId="0" fillId="0" borderId="32" xfId="0" applyNumberFormat="1" applyBorder="1"/>
    <xf numFmtId="170" fontId="0" fillId="0" borderId="2" xfId="0" applyNumberFormat="1" applyBorder="1"/>
    <xf numFmtId="10" fontId="0" fillId="0" borderId="0" xfId="25" applyNumberFormat="1" applyFont="1" applyAlignment="1">
      <alignment horizontal="right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Excel Built-in Normal" xfId="21"/>
    <cellStyle name="Hiperłącze" xfId="22"/>
    <cellStyle name="Normal_sprzedaz" xfId="23"/>
    <cellStyle name="Normalny 2" xfId="24"/>
    <cellStyle name="Procentowy" xfId="2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Wysokość rat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kredytu indeksowanego oraz analogicznego kredytu złotowego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675"/>
          <c:y val="0.19725"/>
          <c:w val="0.83275"/>
          <c:h val="0.77725"/>
        </c:manualLayout>
      </c:layout>
      <c:lineChart>
        <c:grouping val="standard"/>
        <c:varyColors val="0"/>
        <c:ser>
          <c:idx val="0"/>
          <c:order val="0"/>
          <c:tx>
            <c:v>Rata kredytu indeksowanego</c:v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KALKULATOR!$B$5:$B$252</c:f>
              <c:strCache/>
            </c:strRef>
          </c:cat>
          <c:val>
            <c:numRef>
              <c:f>KALKULATOR!$F$5:$F$252</c:f>
              <c:numCache/>
            </c:numRef>
          </c:val>
          <c:smooth val="0"/>
        </c:ser>
        <c:ser>
          <c:idx val="1"/>
          <c:order val="1"/>
          <c:tx>
            <c:v>Rata kredytu złotowego</c:v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KALKULATOR!$BJ$5:$BJ$252</c:f>
              <c:numCache/>
            </c:numRef>
          </c:val>
          <c:smooth val="0"/>
        </c:ser>
        <c:axId val="63947559"/>
        <c:axId val="38657120"/>
      </c:lineChart>
      <c:dateAx>
        <c:axId val="63947559"/>
        <c:scaling>
          <c:orientation val="minMax"/>
        </c:scaling>
        <c:axPos val="t"/>
        <c:delete val="0"/>
        <c:numFmt formatCode="[$-415]mmm\ yy;@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657120"/>
        <c:crosses val="autoZero"/>
        <c:auto val="1"/>
        <c:baseTimeUnit val="days"/>
        <c:noMultiLvlLbl val="0"/>
      </c:dateAx>
      <c:valAx>
        <c:axId val="38657120"/>
        <c:scaling>
          <c:orientation val="maxMin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9475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67375"/>
          <c:y val="0.11775"/>
          <c:w val="0.281"/>
          <c:h val="0.16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l-PL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14</xdr:row>
      <xdr:rowOff>266700</xdr:rowOff>
    </xdr:from>
    <xdr:to>
      <xdr:col>4</xdr:col>
      <xdr:colOff>180975</xdr:colOff>
      <xdr:row>14</xdr:row>
      <xdr:rowOff>1066800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3695700"/>
          <a:ext cx="4057650" cy="800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Wykres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knf.gov.pl/dla_rynku/sad_polubowny_przy_KNF/mediacja/marza?articleId=72862&amp;p_id=18" TargetMode="External" /><Relationship Id="rId2" Type="http://schemas.openxmlformats.org/officeDocument/2006/relationships/hyperlink" Target="https://www.mbank.pl/indywidualny/kredyty/kredyty-hipoteczne/mam-kredyt-hipoteczny/#wibor" TargetMode="External" /><Relationship Id="rId3" Type="http://schemas.openxmlformats.org/officeDocument/2006/relationships/hyperlink" Target="https://stat.gov.pl/obszary-tematyczne/ceny-handel/wskazniki-cen/wskazniki-cen-towarow-i-uslug-konsumpcyjnych-pot-inflacja-/miesieczne-wskazniki-cen-towarow-i-uslug-konsumpcyjnych-od-1982-rok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G43"/>
  <sheetViews>
    <sheetView tabSelected="1" workbookViewId="0" topLeftCell="A1">
      <selection activeCell="E7" sqref="E7"/>
    </sheetView>
  </sheetViews>
  <sheetFormatPr defaultColWidth="11.00390625" defaultRowHeight="15.75"/>
  <cols>
    <col min="1" max="1" width="7.50390625" style="0" customWidth="1"/>
    <col min="2" max="2" width="3.00390625" style="0" customWidth="1"/>
    <col min="3" max="3" width="12.375" style="0" customWidth="1"/>
    <col min="4" max="4" width="39.50390625" style="0" customWidth="1"/>
    <col min="5" max="5" width="16.875" style="0" customWidth="1"/>
    <col min="6" max="6" width="16.375" style="0" customWidth="1"/>
    <col min="7" max="7" width="14.00390625" style="0" customWidth="1"/>
    <col min="8" max="8" width="13.625" style="0" customWidth="1"/>
    <col min="9" max="9" width="17.125" style="0" customWidth="1"/>
    <col min="10" max="10" width="14.875" style="0" customWidth="1"/>
    <col min="11" max="11" width="19.00390625" style="0" customWidth="1"/>
    <col min="12" max="12" width="24.50390625" style="0" customWidth="1"/>
    <col min="13" max="13" width="12.625" style="0" customWidth="1"/>
    <col min="14" max="14" width="68.125" style="0" customWidth="1"/>
  </cols>
  <sheetData>
    <row r="1" spans="2:59" s="52" customFormat="1" ht="17" customHeight="1" thickBot="1">
      <c r="B1" s="53"/>
      <c r="C1" s="4" t="s">
        <v>163</v>
      </c>
      <c r="L1" s="54"/>
      <c r="M1" s="54"/>
      <c r="N1" s="54"/>
      <c r="O1" s="54"/>
      <c r="P1" s="55"/>
      <c r="Q1" s="55"/>
      <c r="R1" s="56"/>
      <c r="S1" s="56"/>
      <c r="T1" s="57"/>
      <c r="U1" s="57"/>
      <c r="V1" s="57"/>
      <c r="W1" s="2"/>
      <c r="X1" s="2"/>
      <c r="Y1" s="2"/>
      <c r="Z1" s="2"/>
      <c r="AA1" s="2"/>
      <c r="AB1" s="54"/>
      <c r="AD1" s="58"/>
      <c r="AE1" s="58"/>
      <c r="AF1" s="58"/>
      <c r="AG1" s="58"/>
      <c r="AH1" s="58"/>
      <c r="AI1" s="58"/>
      <c r="AJ1" s="58"/>
      <c r="AK1" s="58"/>
      <c r="AL1" s="58"/>
      <c r="AV1" s="59"/>
      <c r="AW1" s="59"/>
      <c r="AX1" s="59"/>
      <c r="AY1" s="59"/>
      <c r="AZ1" s="59"/>
      <c r="BE1" s="58"/>
      <c r="BF1" s="58"/>
      <c r="BG1" s="58"/>
    </row>
    <row r="2" spans="2:59" s="52" customFormat="1" ht="20" customHeight="1" thickBot="1">
      <c r="B2" s="53"/>
      <c r="C2" s="60" t="s">
        <v>0</v>
      </c>
      <c r="D2" s="61"/>
      <c r="E2" s="62">
        <v>400000</v>
      </c>
      <c r="F2" s="111" t="s">
        <v>76</v>
      </c>
      <c r="L2" s="54"/>
      <c r="M2" s="54"/>
      <c r="N2" s="54"/>
      <c r="O2" s="54"/>
      <c r="P2" s="55"/>
      <c r="Q2" s="55"/>
      <c r="R2" s="56"/>
      <c r="S2" s="56"/>
      <c r="T2" s="57"/>
      <c r="U2" s="57"/>
      <c r="V2" s="57"/>
      <c r="W2" s="2"/>
      <c r="X2" s="2"/>
      <c r="Y2" s="2"/>
      <c r="Z2" s="2"/>
      <c r="AA2" s="2"/>
      <c r="AB2" s="54"/>
      <c r="AD2" s="58"/>
      <c r="AE2" s="58"/>
      <c r="AF2" s="58"/>
      <c r="AG2" s="58"/>
      <c r="AH2" s="58"/>
      <c r="AI2" s="58"/>
      <c r="AJ2" s="58"/>
      <c r="AK2" s="58"/>
      <c r="AL2" s="58"/>
      <c r="AV2" s="59"/>
      <c r="AW2" s="59"/>
      <c r="AX2" s="59"/>
      <c r="AY2" s="59"/>
      <c r="AZ2" s="59"/>
      <c r="BE2" s="58"/>
      <c r="BF2" s="58"/>
      <c r="BG2" s="58"/>
    </row>
    <row r="3" spans="2:59" s="52" customFormat="1" ht="20" customHeight="1" thickBot="1">
      <c r="B3" s="53"/>
      <c r="C3" s="60" t="s">
        <v>65</v>
      </c>
      <c r="D3" s="61"/>
      <c r="E3" s="112" t="s">
        <v>7</v>
      </c>
      <c r="F3" s="111" t="s">
        <v>74</v>
      </c>
      <c r="L3" s="54"/>
      <c r="M3" s="54"/>
      <c r="N3" s="54"/>
      <c r="O3" s="54"/>
      <c r="P3" s="55"/>
      <c r="Q3" s="55"/>
      <c r="R3" s="56"/>
      <c r="S3" s="56"/>
      <c r="T3" s="57"/>
      <c r="U3" s="57"/>
      <c r="V3" s="57"/>
      <c r="W3" s="2"/>
      <c r="X3" s="2"/>
      <c r="Y3" s="2"/>
      <c r="Z3" s="2"/>
      <c r="AA3" s="2"/>
      <c r="AB3" s="54"/>
      <c r="AD3" s="58"/>
      <c r="AE3" s="58"/>
      <c r="AF3" s="58"/>
      <c r="AG3" s="58"/>
      <c r="AH3" s="58"/>
      <c r="AI3" s="58"/>
      <c r="AJ3" s="58"/>
      <c r="AK3" s="58"/>
      <c r="AL3" s="58"/>
      <c r="AV3" s="59"/>
      <c r="AW3" s="59"/>
      <c r="AX3" s="59"/>
      <c r="AY3" s="59"/>
      <c r="AZ3" s="59"/>
      <c r="BE3" s="58"/>
      <c r="BF3" s="58"/>
      <c r="BG3" s="58"/>
    </row>
    <row r="4" spans="2:59" s="52" customFormat="1" ht="20" customHeight="1" thickBot="1">
      <c r="B4" s="53"/>
      <c r="C4" s="135" t="str">
        <f>_XLFN.CONCAT("Przyjęta przez bank równowartość kredytu w ",E3)</f>
        <v>Przyjęta przez bank równowartość kredytu w CHF</v>
      </c>
      <c r="D4" s="64"/>
      <c r="E4" s="62">
        <f>E2/E5</f>
        <v>181357.6981355522</v>
      </c>
      <c r="F4" s="111" t="s">
        <v>75</v>
      </c>
      <c r="L4" s="54"/>
      <c r="M4" s="54"/>
      <c r="N4" s="54"/>
      <c r="O4" s="54"/>
      <c r="P4" s="55"/>
      <c r="Q4" s="55"/>
      <c r="R4" s="56"/>
      <c r="S4" s="56"/>
      <c r="T4" s="57"/>
      <c r="U4" s="57"/>
      <c r="V4" s="57"/>
      <c r="W4" s="2"/>
      <c r="X4" s="2"/>
      <c r="Y4" s="2"/>
      <c r="Z4" s="2"/>
      <c r="AA4" s="2"/>
      <c r="AB4" s="54"/>
      <c r="AD4" s="58"/>
      <c r="AE4" s="58"/>
      <c r="AF4" s="58"/>
      <c r="AG4" s="58"/>
      <c r="AH4" s="58"/>
      <c r="AI4" s="58"/>
      <c r="AJ4" s="58"/>
      <c r="AK4" s="58"/>
      <c r="AL4" s="58"/>
      <c r="AV4" s="59"/>
      <c r="AW4" s="59"/>
      <c r="AX4" s="59"/>
      <c r="AY4" s="59"/>
      <c r="AZ4" s="59"/>
      <c r="BE4" s="58"/>
      <c r="BF4" s="58"/>
      <c r="BG4" s="58"/>
    </row>
    <row r="5" spans="2:59" s="52" customFormat="1" ht="20" customHeight="1" thickBot="1">
      <c r="B5" s="53"/>
      <c r="C5" s="135" t="str">
        <f>_XLFN.CONCAT("Kurs kupna ",E3," banku z miesiąca udzielenia kredytu")</f>
        <v>Kurs kupna CHF banku z miesiąca udzielenia kredytu</v>
      </c>
      <c r="D5" s="64"/>
      <c r="E5" s="169">
        <f>VLOOKUP(E7,Kursy,VLOOKUP(E3,waluta,2))*(1-E11)</f>
        <v>2.205586</v>
      </c>
      <c r="F5" s="111" t="s">
        <v>79</v>
      </c>
      <c r="L5" s="54"/>
      <c r="M5" s="54"/>
      <c r="N5" s="54"/>
      <c r="O5" s="54"/>
      <c r="P5" s="55"/>
      <c r="Q5" s="55"/>
      <c r="R5" s="56"/>
      <c r="S5" s="56"/>
      <c r="T5" s="57"/>
      <c r="U5" s="57"/>
      <c r="V5" s="57"/>
      <c r="W5" s="2"/>
      <c r="X5" s="2"/>
      <c r="Y5" s="2"/>
      <c r="Z5" s="2"/>
      <c r="AA5" s="2"/>
      <c r="AB5" s="54"/>
      <c r="AD5" s="58"/>
      <c r="AE5" s="58"/>
      <c r="AF5" s="58"/>
      <c r="AG5" s="58"/>
      <c r="AH5" s="58"/>
      <c r="AI5" s="58"/>
      <c r="AJ5" s="58"/>
      <c r="AK5" s="58"/>
      <c r="AL5" s="58"/>
      <c r="AV5" s="59"/>
      <c r="AW5" s="59"/>
      <c r="AX5" s="59"/>
      <c r="AY5" s="59"/>
      <c r="AZ5" s="59"/>
      <c r="BE5" s="58"/>
      <c r="BF5" s="58"/>
      <c r="BG5" s="58"/>
    </row>
    <row r="6" spans="2:59" s="52" customFormat="1" ht="20" customHeight="1" thickBot="1">
      <c r="B6" s="53"/>
      <c r="C6" s="63" t="s">
        <v>15</v>
      </c>
      <c r="D6" s="64"/>
      <c r="E6" s="65">
        <v>0.012</v>
      </c>
      <c r="F6" s="111" t="s">
        <v>80</v>
      </c>
      <c r="L6" s="54"/>
      <c r="M6" s="54"/>
      <c r="N6" s="54"/>
      <c r="O6" s="54"/>
      <c r="P6" s="55"/>
      <c r="Q6" s="55"/>
      <c r="R6" s="56"/>
      <c r="S6" s="56"/>
      <c r="T6" s="57"/>
      <c r="U6" s="57"/>
      <c r="V6" s="57"/>
      <c r="W6" s="2"/>
      <c r="X6" s="2"/>
      <c r="Y6" s="2"/>
      <c r="Z6" s="2"/>
      <c r="AA6" s="2"/>
      <c r="AB6" s="54"/>
      <c r="AD6" s="58"/>
      <c r="AE6" s="58"/>
      <c r="AF6" s="58"/>
      <c r="AG6" s="58"/>
      <c r="AH6" s="58"/>
      <c r="AI6" s="58"/>
      <c r="AJ6" s="58"/>
      <c r="AK6" s="58"/>
      <c r="AL6" s="58"/>
      <c r="AV6" s="59"/>
      <c r="AW6" s="59"/>
      <c r="AX6" s="59"/>
      <c r="AY6" s="59"/>
      <c r="AZ6" s="59"/>
      <c r="BE6" s="58"/>
      <c r="BF6" s="58"/>
      <c r="BG6" s="58"/>
    </row>
    <row r="7" spans="2:59" s="52" customFormat="1" ht="20" customHeight="1" thickBot="1">
      <c r="B7" s="53"/>
      <c r="C7" s="63" t="s">
        <v>1</v>
      </c>
      <c r="D7" s="64"/>
      <c r="E7" s="66">
        <v>39264</v>
      </c>
      <c r="F7" s="52" t="s">
        <v>51</v>
      </c>
      <c r="L7" s="54"/>
      <c r="M7" s="54"/>
      <c r="N7" s="54"/>
      <c r="O7" s="54"/>
      <c r="P7" s="55"/>
      <c r="Q7" s="55"/>
      <c r="R7" s="56"/>
      <c r="S7" s="56"/>
      <c r="T7" s="57"/>
      <c r="U7" s="57"/>
      <c r="V7" s="57"/>
      <c r="W7" s="2"/>
      <c r="X7" s="2"/>
      <c r="Y7" s="2"/>
      <c r="Z7" s="2"/>
      <c r="AA7" s="2"/>
      <c r="AB7" s="54"/>
      <c r="AD7" s="58"/>
      <c r="AE7" s="58"/>
      <c r="AF7" s="58"/>
      <c r="AG7" s="58"/>
      <c r="AH7" s="58"/>
      <c r="AI7" s="58"/>
      <c r="AJ7" s="58"/>
      <c r="AK7" s="58"/>
      <c r="AL7" s="58"/>
      <c r="AV7" s="59"/>
      <c r="AW7" s="59"/>
      <c r="AX7" s="59"/>
      <c r="AY7" s="59"/>
      <c r="AZ7" s="59"/>
      <c r="BE7" s="58"/>
      <c r="BF7" s="58"/>
      <c r="BG7" s="58"/>
    </row>
    <row r="8" spans="2:59" s="52" customFormat="1" ht="20" customHeight="1" thickBot="1">
      <c r="B8" s="53"/>
      <c r="C8" s="63" t="s">
        <v>2</v>
      </c>
      <c r="D8" s="64"/>
      <c r="E8" s="67">
        <v>360</v>
      </c>
      <c r="F8" s="52" t="s">
        <v>52</v>
      </c>
      <c r="L8" s="54"/>
      <c r="M8" s="54"/>
      <c r="N8" s="54"/>
      <c r="O8" s="54"/>
      <c r="P8" s="55"/>
      <c r="Q8" s="55"/>
      <c r="R8" s="56"/>
      <c r="S8" s="56"/>
      <c r="T8" s="57"/>
      <c r="U8" s="57"/>
      <c r="V8" s="57"/>
      <c r="W8" s="2"/>
      <c r="X8" s="2"/>
      <c r="Y8" s="2"/>
      <c r="Z8" s="2"/>
      <c r="AA8" s="2"/>
      <c r="AB8" s="54"/>
      <c r="AD8" s="58"/>
      <c r="AE8" s="58"/>
      <c r="AF8" s="58"/>
      <c r="AG8" s="58"/>
      <c r="AH8" s="58"/>
      <c r="AI8" s="58"/>
      <c r="AJ8" s="58"/>
      <c r="AK8" s="58"/>
      <c r="AL8" s="58"/>
      <c r="AV8" s="59"/>
      <c r="AW8" s="59"/>
      <c r="AX8" s="59"/>
      <c r="AY8" s="59"/>
      <c r="AZ8" s="59"/>
      <c r="BE8" s="58"/>
      <c r="BF8" s="58"/>
      <c r="BG8" s="58"/>
    </row>
    <row r="9" spans="2:59" s="52" customFormat="1" ht="20" customHeight="1" thickBot="1">
      <c r="B9" s="53"/>
      <c r="C9" s="63" t="s">
        <v>18</v>
      </c>
      <c r="D9" s="64"/>
      <c r="E9" s="68">
        <v>0</v>
      </c>
      <c r="F9" s="52" t="s">
        <v>19</v>
      </c>
      <c r="L9" s="54"/>
      <c r="M9" s="54"/>
      <c r="N9" s="54"/>
      <c r="O9" s="54"/>
      <c r="P9" s="55"/>
      <c r="Q9" s="55"/>
      <c r="R9" s="56"/>
      <c r="S9" s="56"/>
      <c r="T9" s="57"/>
      <c r="U9" s="57"/>
      <c r="V9" s="57"/>
      <c r="W9" s="2"/>
      <c r="X9" s="2"/>
      <c r="Y9" s="2"/>
      <c r="Z9" s="2"/>
      <c r="AA9" s="2"/>
      <c r="AB9" s="54"/>
      <c r="AD9" s="58"/>
      <c r="AE9" s="58"/>
      <c r="AF9" s="58"/>
      <c r="AG9" s="58"/>
      <c r="AH9" s="58"/>
      <c r="AI9" s="58"/>
      <c r="AJ9" s="58"/>
      <c r="AK9" s="58"/>
      <c r="AL9" s="58"/>
      <c r="AV9" s="59"/>
      <c r="AW9" s="59"/>
      <c r="AX9" s="59"/>
      <c r="AY9" s="59"/>
      <c r="AZ9" s="59"/>
      <c r="BE9" s="58"/>
      <c r="BF9" s="58"/>
      <c r="BG9" s="58"/>
    </row>
    <row r="10" spans="2:59" s="52" customFormat="1" ht="20" customHeight="1" thickBot="1">
      <c r="B10" s="53"/>
      <c r="C10" s="63" t="s">
        <v>42</v>
      </c>
      <c r="D10" s="64"/>
      <c r="E10" s="69" t="s">
        <v>44</v>
      </c>
      <c r="F10" s="52" t="s">
        <v>43</v>
      </c>
      <c r="L10" s="54"/>
      <c r="M10" s="54"/>
      <c r="N10" s="54"/>
      <c r="O10" s="54"/>
      <c r="P10" s="55"/>
      <c r="Q10" s="55"/>
      <c r="R10" s="56"/>
      <c r="S10" s="56"/>
      <c r="T10" s="57"/>
      <c r="U10" s="57"/>
      <c r="V10" s="57"/>
      <c r="W10" s="2"/>
      <c r="X10" s="2"/>
      <c r="Y10" s="2"/>
      <c r="Z10" s="2"/>
      <c r="AA10" s="2"/>
      <c r="AB10" s="54"/>
      <c r="AD10" s="58" t="s">
        <v>44</v>
      </c>
      <c r="AE10" s="58"/>
      <c r="AF10" s="58"/>
      <c r="AG10" s="58"/>
      <c r="AH10" s="58"/>
      <c r="AI10" s="58"/>
      <c r="AJ10" s="58"/>
      <c r="AK10" s="58"/>
      <c r="AL10" s="58"/>
      <c r="AV10" s="59"/>
      <c r="AW10" s="59"/>
      <c r="AX10" s="59"/>
      <c r="AY10" s="59"/>
      <c r="AZ10" s="59"/>
      <c r="BE10" s="58"/>
      <c r="BF10" s="58"/>
      <c r="BG10" s="58"/>
    </row>
    <row r="11" spans="2:59" s="52" customFormat="1" ht="20" customHeight="1" thickBot="1">
      <c r="B11" s="53"/>
      <c r="C11" s="63" t="s">
        <v>41</v>
      </c>
      <c r="D11" s="70"/>
      <c r="E11" s="71">
        <v>0.03</v>
      </c>
      <c r="F11" s="111" t="s">
        <v>82</v>
      </c>
      <c r="L11" s="54"/>
      <c r="M11" s="54"/>
      <c r="N11" s="54"/>
      <c r="O11" s="54"/>
      <c r="P11" s="55"/>
      <c r="Q11" s="55"/>
      <c r="R11" s="56"/>
      <c r="S11" s="56"/>
      <c r="T11" s="57"/>
      <c r="U11" s="57"/>
      <c r="V11" s="57"/>
      <c r="W11" s="2"/>
      <c r="X11" s="2"/>
      <c r="Y11" s="2"/>
      <c r="Z11" s="2"/>
      <c r="AA11" s="2"/>
      <c r="AB11" s="54"/>
      <c r="AD11" s="58" t="s">
        <v>45</v>
      </c>
      <c r="AE11" s="58"/>
      <c r="AF11" s="58"/>
      <c r="AG11" s="58"/>
      <c r="AH11" s="58"/>
      <c r="AI11" s="58"/>
      <c r="AJ11" s="58"/>
      <c r="AK11" s="58"/>
      <c r="AL11" s="58"/>
      <c r="AV11" s="59"/>
      <c r="AW11" s="59"/>
      <c r="AX11" s="59"/>
      <c r="AY11" s="59"/>
      <c r="AZ11" s="59"/>
      <c r="BE11" s="58"/>
      <c r="BF11" s="58"/>
      <c r="BG11" s="58"/>
    </row>
    <row r="12" spans="2:59" s="52" customFormat="1" ht="20" customHeight="1" thickBot="1">
      <c r="B12" s="53"/>
      <c r="C12" s="135" t="s">
        <v>78</v>
      </c>
      <c r="D12" s="70"/>
      <c r="E12" s="66">
        <v>42675</v>
      </c>
      <c r="F12" s="111" t="s">
        <v>81</v>
      </c>
      <c r="L12" s="54"/>
      <c r="M12" s="54"/>
      <c r="N12" s="54"/>
      <c r="O12" s="54"/>
      <c r="P12" s="55"/>
      <c r="Q12" s="55"/>
      <c r="R12" s="56"/>
      <c r="S12" s="56"/>
      <c r="T12" s="57"/>
      <c r="U12" s="57"/>
      <c r="V12" s="57"/>
      <c r="W12" s="2"/>
      <c r="X12" s="2"/>
      <c r="Y12" s="2"/>
      <c r="Z12" s="2"/>
      <c r="AA12" s="2"/>
      <c r="AB12" s="54"/>
      <c r="AD12" s="58"/>
      <c r="AE12" s="58"/>
      <c r="AF12" s="58"/>
      <c r="AG12" s="58"/>
      <c r="AH12" s="58"/>
      <c r="AI12" s="58"/>
      <c r="AJ12" s="58"/>
      <c r="AK12" s="58"/>
      <c r="AL12" s="58"/>
      <c r="AV12" s="59"/>
      <c r="AW12" s="59"/>
      <c r="AX12" s="59"/>
      <c r="AY12" s="59"/>
      <c r="AZ12" s="59"/>
      <c r="BE12" s="58"/>
      <c r="BF12" s="58"/>
      <c r="BG12" s="58"/>
    </row>
    <row r="13" spans="2:59" s="52" customFormat="1" ht="20" customHeight="1">
      <c r="B13" s="53"/>
      <c r="C13" s="60" t="s">
        <v>25</v>
      </c>
      <c r="D13" s="72"/>
      <c r="E13" s="73"/>
      <c r="F13" s="52" t="s">
        <v>136</v>
      </c>
      <c r="L13" s="54"/>
      <c r="M13" s="54"/>
      <c r="N13" s="54"/>
      <c r="O13" s="54"/>
      <c r="P13" s="55"/>
      <c r="Q13" s="55"/>
      <c r="R13" s="56"/>
      <c r="S13" s="56"/>
      <c r="T13" s="57"/>
      <c r="U13" s="57"/>
      <c r="V13" s="57"/>
      <c r="W13" s="2"/>
      <c r="X13" s="2"/>
      <c r="Y13" s="2"/>
      <c r="Z13" s="2"/>
      <c r="AA13" s="2"/>
      <c r="AB13" s="54"/>
      <c r="AD13" s="58"/>
      <c r="AE13" s="58"/>
      <c r="AF13" s="58"/>
      <c r="AG13" s="58"/>
      <c r="AH13" s="58"/>
      <c r="AI13" s="58"/>
      <c r="AJ13" s="58"/>
      <c r="AK13" s="58"/>
      <c r="AL13" s="58"/>
      <c r="AV13" s="59"/>
      <c r="AW13" s="59"/>
      <c r="AX13" s="59"/>
      <c r="AY13" s="59"/>
      <c r="AZ13" s="59"/>
      <c r="BE13" s="58"/>
      <c r="BF13" s="58"/>
      <c r="BG13" s="58"/>
    </row>
    <row r="14" spans="2:59" s="52" customFormat="1" ht="20" customHeight="1">
      <c r="B14" s="53"/>
      <c r="C14" s="74" t="s">
        <v>24</v>
      </c>
      <c r="D14" s="75"/>
      <c r="F14" s="52" t="s">
        <v>137</v>
      </c>
      <c r="L14" s="54"/>
      <c r="M14" s="54"/>
      <c r="N14" s="54"/>
      <c r="O14" s="54"/>
      <c r="P14" s="55"/>
      <c r="Q14" s="55"/>
      <c r="R14" s="56"/>
      <c r="S14" s="56"/>
      <c r="T14" s="57"/>
      <c r="U14" s="57"/>
      <c r="V14" s="57"/>
      <c r="W14" s="2"/>
      <c r="X14" s="2"/>
      <c r="Y14" s="2"/>
      <c r="Z14" s="2"/>
      <c r="AA14" s="2"/>
      <c r="AB14" s="54"/>
      <c r="AD14" s="58"/>
      <c r="AE14" s="58"/>
      <c r="AF14" s="58"/>
      <c r="AG14" s="58"/>
      <c r="AH14" s="58"/>
      <c r="AI14" s="58"/>
      <c r="AJ14" s="58"/>
      <c r="AK14" s="58"/>
      <c r="AL14" s="58"/>
      <c r="AV14" s="59"/>
      <c r="AW14" s="59"/>
      <c r="AX14" s="59"/>
      <c r="AY14" s="59"/>
      <c r="AZ14" s="59"/>
      <c r="BE14" s="58"/>
      <c r="BF14" s="58"/>
      <c r="BG14" s="58"/>
    </row>
    <row r="15" spans="2:59" s="52" customFormat="1" ht="113" customHeight="1">
      <c r="B15" s="53"/>
      <c r="C15" s="74"/>
      <c r="D15" s="75"/>
      <c r="F15" s="222" t="s">
        <v>167</v>
      </c>
      <c r="G15" s="223"/>
      <c r="H15" s="223"/>
      <c r="I15" s="223"/>
      <c r="J15" s="223"/>
      <c r="K15" s="223"/>
      <c r="L15" s="223"/>
      <c r="M15" s="223"/>
      <c r="N15" s="54"/>
      <c r="O15" s="54"/>
      <c r="P15" s="55"/>
      <c r="Q15" s="55"/>
      <c r="R15" s="56"/>
      <c r="S15" s="56"/>
      <c r="T15" s="57"/>
      <c r="U15" s="57"/>
      <c r="V15" s="57"/>
      <c r="W15" s="2"/>
      <c r="X15" s="2"/>
      <c r="Y15" s="2"/>
      <c r="Z15" s="2"/>
      <c r="AA15" s="2"/>
      <c r="AB15" s="54"/>
      <c r="AD15" s="58"/>
      <c r="AE15" s="58"/>
      <c r="AF15" s="58"/>
      <c r="AG15" s="58"/>
      <c r="AH15" s="58"/>
      <c r="AI15" s="58"/>
      <c r="AJ15" s="58"/>
      <c r="AK15" s="58"/>
      <c r="AL15" s="58"/>
      <c r="AV15" s="59"/>
      <c r="AW15" s="59"/>
      <c r="AX15" s="59"/>
      <c r="AY15" s="59"/>
      <c r="AZ15" s="59"/>
      <c r="BE15" s="58"/>
      <c r="BF15" s="58"/>
      <c r="BG15" s="58"/>
    </row>
    <row r="16" spans="2:59" s="52" customFormat="1" ht="21" customHeight="1">
      <c r="B16" s="53"/>
      <c r="C16" s="108"/>
      <c r="D16" s="170" t="s">
        <v>128</v>
      </c>
      <c r="E16" s="162">
        <f>KALKULATOR!B272</f>
        <v>45383</v>
      </c>
      <c r="L16" s="54"/>
      <c r="M16" s="54"/>
      <c r="N16" s="54"/>
      <c r="O16" s="54"/>
      <c r="P16" s="55"/>
      <c r="Q16" s="55"/>
      <c r="R16" s="56"/>
      <c r="S16" s="56"/>
      <c r="T16" s="57"/>
      <c r="U16" s="57"/>
      <c r="V16" s="57"/>
      <c r="W16" s="2"/>
      <c r="X16" s="2"/>
      <c r="Y16" s="2"/>
      <c r="Z16" s="2"/>
      <c r="AA16" s="2"/>
      <c r="AB16" s="54"/>
      <c r="AD16" s="58"/>
      <c r="AE16" s="58"/>
      <c r="AF16" s="58"/>
      <c r="AG16" s="58"/>
      <c r="AH16" s="58"/>
      <c r="AI16" s="58"/>
      <c r="AJ16" s="58"/>
      <c r="AK16" s="58"/>
      <c r="AL16" s="58"/>
      <c r="AV16" s="59"/>
      <c r="AW16" s="59"/>
      <c r="AX16" s="59"/>
      <c r="AY16" s="59"/>
      <c r="AZ16" s="59"/>
      <c r="BE16" s="58"/>
      <c r="BF16" s="58"/>
      <c r="BG16" s="58"/>
    </row>
    <row r="17" spans="2:59" s="52" customFormat="1" ht="60" customHeight="1">
      <c r="B17" s="53"/>
      <c r="C17" s="107"/>
      <c r="D17" s="105"/>
      <c r="E17" s="104" t="s">
        <v>60</v>
      </c>
      <c r="F17" s="104" t="s">
        <v>60</v>
      </c>
      <c r="G17" s="104" t="s">
        <v>63</v>
      </c>
      <c r="H17" s="104" t="s">
        <v>61</v>
      </c>
      <c r="I17" s="104" t="s">
        <v>142</v>
      </c>
      <c r="J17" s="201"/>
      <c r="K17" s="198"/>
      <c r="L17" s="198"/>
      <c r="M17" s="198"/>
      <c r="N17" s="54"/>
      <c r="O17" s="54"/>
      <c r="P17" s="55"/>
      <c r="Q17" s="55"/>
      <c r="R17" s="56"/>
      <c r="S17" s="56"/>
      <c r="T17" s="57"/>
      <c r="U17" s="57"/>
      <c r="V17" s="57"/>
      <c r="W17" s="2"/>
      <c r="X17" s="2"/>
      <c r="Y17" s="2"/>
      <c r="Z17" s="2"/>
      <c r="AA17" s="2"/>
      <c r="AB17" s="54"/>
      <c r="AD17" s="58"/>
      <c r="AE17" s="58"/>
      <c r="AF17" s="58"/>
      <c r="AG17" s="58"/>
      <c r="AH17" s="58"/>
      <c r="AI17" s="58"/>
      <c r="AJ17" s="58"/>
      <c r="AK17" s="58"/>
      <c r="AL17" s="58"/>
      <c r="AV17" s="59"/>
      <c r="AW17" s="59"/>
      <c r="AX17" s="59"/>
      <c r="AY17" s="59"/>
      <c r="AZ17" s="59"/>
      <c r="BE17" s="58"/>
      <c r="BF17" s="58"/>
      <c r="BG17" s="58"/>
    </row>
    <row r="18" spans="2:59" s="52" customFormat="1" ht="19" customHeight="1">
      <c r="B18" s="53"/>
      <c r="C18" s="107"/>
      <c r="D18" s="106" t="s">
        <v>59</v>
      </c>
      <c r="E18" s="113" t="str">
        <f>E3</f>
        <v>CHF</v>
      </c>
      <c r="F18" s="104" t="s">
        <v>8</v>
      </c>
      <c r="G18" s="113" t="str">
        <f>E3</f>
        <v>CHF</v>
      </c>
      <c r="H18" s="104" t="s">
        <v>8</v>
      </c>
      <c r="I18" s="104" t="s">
        <v>8</v>
      </c>
      <c r="J18" s="201"/>
      <c r="K18" s="199"/>
      <c r="L18" s="198"/>
      <c r="M18" s="198"/>
      <c r="N18" s="54"/>
      <c r="O18" s="54"/>
      <c r="P18" s="55"/>
      <c r="Q18" s="55"/>
      <c r="R18" s="56"/>
      <c r="S18" s="56"/>
      <c r="T18" s="57"/>
      <c r="U18" s="57"/>
      <c r="V18" s="57"/>
      <c r="W18" s="2"/>
      <c r="X18" s="2"/>
      <c r="Y18" s="2"/>
      <c r="Z18" s="2"/>
      <c r="AA18" s="2"/>
      <c r="AB18" s="54"/>
      <c r="AD18" s="58"/>
      <c r="AE18" s="58"/>
      <c r="AF18" s="58"/>
      <c r="AG18" s="58"/>
      <c r="AH18" s="58"/>
      <c r="AI18" s="58"/>
      <c r="AJ18" s="58"/>
      <c r="AK18" s="58"/>
      <c r="AL18" s="58"/>
      <c r="AV18" s="59"/>
      <c r="AW18" s="59"/>
      <c r="AX18" s="59"/>
      <c r="AY18" s="59"/>
      <c r="AZ18" s="59"/>
      <c r="BE18" s="58"/>
      <c r="BF18" s="58"/>
      <c r="BG18" s="58"/>
    </row>
    <row r="19" spans="2:59" s="52" customFormat="1" ht="20" customHeight="1">
      <c r="B19" s="53"/>
      <c r="C19" s="155"/>
      <c r="D19" s="161" t="s">
        <v>92</v>
      </c>
      <c r="E19" s="156">
        <f>-KALKULATOR!E272</f>
        <v>665.3046336938588</v>
      </c>
      <c r="F19" s="156">
        <f>-KALKULATOR!F272</f>
        <v>3022.424395891237</v>
      </c>
      <c r="G19" s="156">
        <f>IF(E10=AD10,KALKULATOR!N272,KALKULATOR!AG272)</f>
        <v>88498.56086615889</v>
      </c>
      <c r="H19" s="156">
        <f>G19*KALKULATOR!D272</f>
        <v>402041.7051329688</v>
      </c>
      <c r="I19" s="156">
        <f>IF(E10=AD10,-KALKULATOR!F2,KALKULATOR!AK2)</f>
        <v>448544.20693209866</v>
      </c>
      <c r="J19" s="202"/>
      <c r="K19" s="200"/>
      <c r="L19" s="200"/>
      <c r="M19" s="200"/>
      <c r="N19" s="134" t="s">
        <v>77</v>
      </c>
      <c r="O19" s="54"/>
      <c r="P19" s="55"/>
      <c r="Q19" s="55"/>
      <c r="R19" s="56"/>
      <c r="S19" s="56"/>
      <c r="T19" s="57"/>
      <c r="U19" s="57"/>
      <c r="V19" s="57"/>
      <c r="W19" s="2"/>
      <c r="X19" s="2"/>
      <c r="Y19" s="2"/>
      <c r="Z19" s="2"/>
      <c r="AA19" s="2"/>
      <c r="AB19" s="54"/>
      <c r="AD19" s="58"/>
      <c r="AE19" s="58"/>
      <c r="AF19" s="58"/>
      <c r="AG19" s="58"/>
      <c r="AH19" s="58"/>
      <c r="AI19" s="58"/>
      <c r="AJ19" s="58"/>
      <c r="AK19" s="58"/>
      <c r="AL19" s="58"/>
      <c r="AV19" s="59"/>
      <c r="AW19" s="59"/>
      <c r="AX19" s="59"/>
      <c r="AY19" s="59"/>
      <c r="AZ19" s="59"/>
      <c r="BE19" s="58"/>
      <c r="BF19" s="58"/>
      <c r="BG19" s="58"/>
    </row>
    <row r="20" spans="2:59" s="52" customFormat="1" ht="20" customHeight="1">
      <c r="B20" s="53"/>
      <c r="C20" s="158"/>
      <c r="D20" s="159"/>
      <c r="E20" s="160"/>
      <c r="F20" s="160"/>
      <c r="G20" s="160"/>
      <c r="H20" s="160"/>
      <c r="I20" s="160"/>
      <c r="J20" s="197"/>
      <c r="K20" s="197"/>
      <c r="L20" s="197"/>
      <c r="M20" s="200"/>
      <c r="N20" s="134"/>
      <c r="O20" s="54"/>
      <c r="P20" s="55"/>
      <c r="Q20" s="55"/>
      <c r="R20" s="56"/>
      <c r="S20" s="56"/>
      <c r="T20" s="57"/>
      <c r="U20" s="57"/>
      <c r="V20" s="57"/>
      <c r="W20" s="2"/>
      <c r="X20" s="2"/>
      <c r="Y20" s="2"/>
      <c r="Z20" s="2"/>
      <c r="AA20" s="2"/>
      <c r="AB20" s="54"/>
      <c r="AD20" s="58"/>
      <c r="AE20" s="58"/>
      <c r="AF20" s="58"/>
      <c r="AG20" s="58"/>
      <c r="AH20" s="58"/>
      <c r="AI20" s="58"/>
      <c r="AJ20" s="58"/>
      <c r="AK20" s="58"/>
      <c r="AL20" s="58"/>
      <c r="AV20" s="59"/>
      <c r="AW20" s="59"/>
      <c r="AX20" s="59"/>
      <c r="AY20" s="59"/>
      <c r="AZ20" s="59"/>
      <c r="BE20" s="58"/>
      <c r="BF20" s="58"/>
      <c r="BG20" s="58"/>
    </row>
    <row r="21" spans="2:59" s="52" customFormat="1" ht="64" customHeight="1">
      <c r="B21" s="53"/>
      <c r="C21" s="107"/>
      <c r="D21" s="105"/>
      <c r="E21" s="194" t="s">
        <v>129</v>
      </c>
      <c r="F21" s="104" t="s">
        <v>130</v>
      </c>
      <c r="G21" s="104" t="s">
        <v>131</v>
      </c>
      <c r="H21" s="194" t="s">
        <v>132</v>
      </c>
      <c r="I21" s="104" t="s">
        <v>133</v>
      </c>
      <c r="J21" s="104" t="s">
        <v>139</v>
      </c>
      <c r="K21" s="194" t="s">
        <v>134</v>
      </c>
      <c r="L21" s="104" t="s">
        <v>141</v>
      </c>
      <c r="M21" s="201"/>
      <c r="N21" s="134"/>
      <c r="O21" s="54"/>
      <c r="P21" s="55"/>
      <c r="Q21" s="55"/>
      <c r="R21" s="56"/>
      <c r="S21" s="56"/>
      <c r="T21" s="57"/>
      <c r="U21" s="57"/>
      <c r="V21" s="57"/>
      <c r="W21" s="2"/>
      <c r="X21" s="2"/>
      <c r="Y21" s="2"/>
      <c r="Z21" s="2"/>
      <c r="AA21" s="2"/>
      <c r="AB21" s="54"/>
      <c r="AD21" s="58"/>
      <c r="AE21" s="58"/>
      <c r="AF21" s="58"/>
      <c r="AG21" s="58"/>
      <c r="AH21" s="58"/>
      <c r="AI21" s="58"/>
      <c r="AJ21" s="58"/>
      <c r="AK21" s="58"/>
      <c r="AL21" s="58"/>
      <c r="AV21" s="59"/>
      <c r="AW21" s="59"/>
      <c r="AX21" s="59"/>
      <c r="AY21" s="59"/>
      <c r="AZ21" s="59"/>
      <c r="BE21" s="58"/>
      <c r="BF21" s="58"/>
      <c r="BG21" s="58"/>
    </row>
    <row r="22" spans="2:59" s="52" customFormat="1" ht="20" customHeight="1">
      <c r="B22" s="53"/>
      <c r="C22" s="205"/>
      <c r="D22" s="204" t="s">
        <v>57</v>
      </c>
      <c r="E22" s="195">
        <f>E2+KALKULATOR!R2-KALKULATOR!S2</f>
        <v>400000</v>
      </c>
      <c r="F22" s="195">
        <f>KALKULATOR!AD2</f>
        <v>232782.32977134472</v>
      </c>
      <c r="G22" s="195">
        <f>KALKULATOR!AE2</f>
        <v>50170.93605632206</v>
      </c>
      <c r="H22" s="195">
        <f>G22*KALKULATOR!C272</f>
        <v>221283.93057001405</v>
      </c>
      <c r="I22" s="196">
        <f>H22+F22</f>
        <v>454066.2603413588</v>
      </c>
      <c r="J22" s="195">
        <f>IF(E22&gt;I22,I22-E22,0)</f>
        <v>0</v>
      </c>
      <c r="K22" s="195">
        <f>IF(I22&gt;E22,I22-E22,0)</f>
        <v>54066.26034135878</v>
      </c>
      <c r="L22" s="195">
        <f>H19+J22+K22</f>
        <v>456107.96547432756</v>
      </c>
      <c r="M22" s="202"/>
      <c r="N22" s="103" t="s">
        <v>140</v>
      </c>
      <c r="O22" s="54"/>
      <c r="P22" s="55"/>
      <c r="Q22" s="55"/>
      <c r="R22" s="56"/>
      <c r="S22" s="56"/>
      <c r="T22" s="57"/>
      <c r="U22" s="57"/>
      <c r="V22" s="57"/>
      <c r="W22" s="2"/>
      <c r="X22" s="2"/>
      <c r="Y22" s="2"/>
      <c r="Z22" s="2"/>
      <c r="AA22" s="2"/>
      <c r="AB22" s="54"/>
      <c r="AD22" s="58"/>
      <c r="AE22" s="58"/>
      <c r="AF22" s="58"/>
      <c r="AG22" s="58"/>
      <c r="AH22" s="58"/>
      <c r="AI22" s="58"/>
      <c r="AJ22" s="58"/>
      <c r="AK22" s="58"/>
      <c r="AL22" s="58"/>
      <c r="AV22" s="59"/>
      <c r="AW22" s="59"/>
      <c r="AX22" s="59"/>
      <c r="AY22" s="59"/>
      <c r="AZ22" s="59"/>
      <c r="BE22" s="58"/>
      <c r="BF22" s="58"/>
      <c r="BG22" s="58"/>
    </row>
    <row r="23" spans="2:59" s="52" customFormat="1" ht="20" customHeight="1">
      <c r="B23" s="53"/>
      <c r="C23" s="74"/>
      <c r="D23" s="203"/>
      <c r="E23" s="200"/>
      <c r="F23" s="200"/>
      <c r="G23" s="200"/>
      <c r="H23" s="200"/>
      <c r="I23" s="200"/>
      <c r="J23" s="200"/>
      <c r="K23" s="200"/>
      <c r="L23" s="200"/>
      <c r="M23" s="200"/>
      <c r="N23" s="103"/>
      <c r="O23" s="54"/>
      <c r="P23" s="55"/>
      <c r="Q23" s="55"/>
      <c r="R23" s="56"/>
      <c r="S23" s="56"/>
      <c r="T23" s="57"/>
      <c r="U23" s="57"/>
      <c r="V23" s="57"/>
      <c r="W23" s="2"/>
      <c r="X23" s="2"/>
      <c r="Y23" s="2"/>
      <c r="Z23" s="2"/>
      <c r="AA23" s="2"/>
      <c r="AB23" s="54"/>
      <c r="AD23" s="58"/>
      <c r="AE23" s="58"/>
      <c r="AF23" s="58"/>
      <c r="AG23" s="58"/>
      <c r="AH23" s="58"/>
      <c r="AI23" s="58"/>
      <c r="AJ23" s="58"/>
      <c r="AK23" s="58"/>
      <c r="AL23" s="58"/>
      <c r="AV23" s="59"/>
      <c r="AW23" s="59"/>
      <c r="AX23" s="59"/>
      <c r="AY23" s="59"/>
      <c r="AZ23" s="59"/>
      <c r="BE23" s="58"/>
      <c r="BF23" s="58"/>
      <c r="BG23" s="58"/>
    </row>
    <row r="24" spans="2:59" s="52" customFormat="1" ht="71" customHeight="1">
      <c r="B24" s="53"/>
      <c r="C24" s="74"/>
      <c r="D24" s="203"/>
      <c r="E24" s="200"/>
      <c r="F24" s="104" t="s">
        <v>143</v>
      </c>
      <c r="G24" s="104" t="s">
        <v>144</v>
      </c>
      <c r="H24" s="104" t="s">
        <v>145</v>
      </c>
      <c r="I24" s="104" t="s">
        <v>62</v>
      </c>
      <c r="K24" s="194" t="s">
        <v>146</v>
      </c>
      <c r="L24" s="104" t="s">
        <v>141</v>
      </c>
      <c r="M24" s="200"/>
      <c r="N24" s="103"/>
      <c r="O24" s="54"/>
      <c r="P24" s="55"/>
      <c r="Q24" s="55"/>
      <c r="R24" s="56"/>
      <c r="S24" s="56"/>
      <c r="T24" s="57"/>
      <c r="U24" s="57"/>
      <c r="V24" s="57"/>
      <c r="W24" s="2"/>
      <c r="X24" s="2"/>
      <c r="Y24" s="2"/>
      <c r="Z24" s="2"/>
      <c r="AA24" s="2"/>
      <c r="AB24" s="54"/>
      <c r="AD24" s="58"/>
      <c r="AE24" s="58"/>
      <c r="AF24" s="58"/>
      <c r="AG24" s="58"/>
      <c r="AH24" s="58"/>
      <c r="AI24" s="58"/>
      <c r="AJ24" s="58"/>
      <c r="AK24" s="58"/>
      <c r="AL24" s="58"/>
      <c r="AV24" s="59"/>
      <c r="AW24" s="59"/>
      <c r="AX24" s="59"/>
      <c r="AY24" s="59"/>
      <c r="AZ24" s="59"/>
      <c r="BE24" s="58"/>
      <c r="BF24" s="58"/>
      <c r="BG24" s="58"/>
    </row>
    <row r="25" spans="2:59" s="52" customFormat="1" ht="20" customHeight="1">
      <c r="B25" s="53"/>
      <c r="C25" s="206"/>
      <c r="D25" s="215" t="s">
        <v>55</v>
      </c>
      <c r="E25" s="216"/>
      <c r="F25" s="157">
        <f>IF(E10=AD10,-KALKULATOR!U272,KALKULATOR!AO272)</f>
        <v>1467.386585810304</v>
      </c>
      <c r="G25" s="157">
        <f>IF(E10=AD10,KALKULATOR!O272,KALKULATOR!AL272)</f>
        <v>195191.186866548</v>
      </c>
      <c r="H25" s="157">
        <f>IF(D10=AC10,-KALKULATOR!U2,KALKULATOR!AO2)</f>
        <v>268750.94146507035</v>
      </c>
      <c r="I25" s="157">
        <f>I19</f>
        <v>448544.20693209866</v>
      </c>
      <c r="K25" s="157">
        <f>I25-H25</f>
        <v>179793.2654670283</v>
      </c>
      <c r="L25" s="157">
        <f>H19-G25+K25</f>
        <v>386643.78373344906</v>
      </c>
      <c r="M25" s="202"/>
      <c r="N25" s="103" t="s">
        <v>58</v>
      </c>
      <c r="O25" s="54"/>
      <c r="P25" s="55"/>
      <c r="Q25" s="55"/>
      <c r="R25" s="56"/>
      <c r="S25" s="56"/>
      <c r="T25" s="57"/>
      <c r="U25" s="57"/>
      <c r="V25" s="57"/>
      <c r="W25" s="2"/>
      <c r="X25" s="2"/>
      <c r="Y25" s="2"/>
      <c r="Z25" s="2"/>
      <c r="AA25" s="2"/>
      <c r="AB25" s="54"/>
      <c r="AD25" s="58"/>
      <c r="AE25" s="58"/>
      <c r="AF25" s="58"/>
      <c r="AG25" s="58"/>
      <c r="AH25" s="58"/>
      <c r="AI25" s="58"/>
      <c r="AJ25" s="58"/>
      <c r="AK25" s="58"/>
      <c r="AL25" s="58"/>
      <c r="AV25" s="59"/>
      <c r="AW25" s="59"/>
      <c r="AX25" s="59"/>
      <c r="AY25" s="59"/>
      <c r="AZ25" s="59"/>
      <c r="BE25" s="58"/>
      <c r="BF25" s="58"/>
      <c r="BG25" s="58"/>
    </row>
    <row r="26" spans="2:59" s="52" customFormat="1" ht="20" customHeight="1">
      <c r="B26" s="53"/>
      <c r="C26" s="74"/>
      <c r="D26" s="203"/>
      <c r="E26" s="200"/>
      <c r="F26" s="200"/>
      <c r="G26" s="200"/>
      <c r="H26" s="200"/>
      <c r="I26" s="200"/>
      <c r="J26" s="200"/>
      <c r="K26" s="200"/>
      <c r="L26" s="200"/>
      <c r="M26" s="200"/>
      <c r="N26" s="103"/>
      <c r="O26" s="54"/>
      <c r="P26" s="55"/>
      <c r="Q26" s="55"/>
      <c r="R26" s="56"/>
      <c r="S26" s="56"/>
      <c r="T26" s="57"/>
      <c r="U26" s="57"/>
      <c r="V26" s="57"/>
      <c r="W26" s="2"/>
      <c r="X26" s="2"/>
      <c r="Y26" s="2"/>
      <c r="Z26" s="2"/>
      <c r="AA26" s="2"/>
      <c r="AB26" s="54"/>
      <c r="AD26" s="58"/>
      <c r="AE26" s="58"/>
      <c r="AF26" s="58"/>
      <c r="AG26" s="58"/>
      <c r="AH26" s="58"/>
      <c r="AI26" s="58"/>
      <c r="AJ26" s="58"/>
      <c r="AK26" s="58"/>
      <c r="AL26" s="58"/>
      <c r="AV26" s="59"/>
      <c r="AW26" s="59"/>
      <c r="AX26" s="59"/>
      <c r="AY26" s="59"/>
      <c r="AZ26" s="59"/>
      <c r="BE26" s="58"/>
      <c r="BF26" s="58"/>
      <c r="BG26" s="58"/>
    </row>
    <row r="27" spans="4:12" s="4" customFormat="1" ht="68">
      <c r="D27" s="143"/>
      <c r="F27" s="104" t="s">
        <v>148</v>
      </c>
      <c r="G27" s="104" t="s">
        <v>152</v>
      </c>
      <c r="H27" s="104" t="s">
        <v>149</v>
      </c>
      <c r="I27" s="104" t="s">
        <v>153</v>
      </c>
      <c r="J27" s="104" t="s">
        <v>150</v>
      </c>
      <c r="L27" s="104" t="s">
        <v>141</v>
      </c>
    </row>
    <row r="28" spans="3:14" s="4" customFormat="1" ht="15.75">
      <c r="C28" s="149"/>
      <c r="D28" s="163" t="s">
        <v>135</v>
      </c>
      <c r="E28" s="150" t="s">
        <v>56</v>
      </c>
      <c r="F28" s="165">
        <f>IF(E10=AD10,-KALKULATOR!BU272,-KALKULATOR!CA272)</f>
        <v>2014.5528060874667</v>
      </c>
      <c r="G28" s="214">
        <f>KALKULATOR!BQ272</f>
        <v>0.07039999999999999</v>
      </c>
      <c r="H28" s="151">
        <f>IF(E10=AD10,KALKULATOR!BR272,KALKULATOR!BX272)</f>
        <v>208704.24929766773</v>
      </c>
      <c r="I28" s="165">
        <f>IF(E10=AD10,-KALKULATOR!BU2,-KALKULATOR!CA2)</f>
        <v>422596.246339201</v>
      </c>
      <c r="J28" s="165">
        <f>I28+H28</f>
        <v>631300.4956368688</v>
      </c>
      <c r="K28" s="168"/>
      <c r="L28" s="165">
        <f>H19-H28</f>
        <v>193337.45583530105</v>
      </c>
      <c r="M28" s="212"/>
      <c r="N28" s="4" t="s">
        <v>151</v>
      </c>
    </row>
    <row r="29" spans="3:13" s="4" customFormat="1" ht="15.75">
      <c r="C29" s="152"/>
      <c r="D29" s="164" t="s">
        <v>91</v>
      </c>
      <c r="E29" s="153">
        <f>VLOOKUP(Podsumowanie!E7,Marza,2)</f>
        <v>0.0121</v>
      </c>
      <c r="F29" s="166"/>
      <c r="G29" s="166"/>
      <c r="H29" s="154"/>
      <c r="I29" s="166"/>
      <c r="J29" s="166"/>
      <c r="L29" s="166"/>
      <c r="M29" s="213"/>
    </row>
    <row r="30" spans="4:5" s="4" customFormat="1" ht="15.75">
      <c r="D30" s="168"/>
      <c r="E30" s="211"/>
    </row>
    <row r="31" spans="3:15" s="4" customFormat="1" ht="15.75">
      <c r="C31" s="4" t="s">
        <v>147</v>
      </c>
      <c r="F31" s="168"/>
      <c r="G31" s="168"/>
      <c r="I31" s="10"/>
      <c r="K31" s="167"/>
      <c r="L31" s="167"/>
      <c r="M31" s="167"/>
      <c r="N31" s="167"/>
      <c r="O31" s="167"/>
    </row>
    <row r="32" spans="3:13" s="4" customFormat="1" ht="68">
      <c r="C32" s="180"/>
      <c r="D32" s="181" t="s">
        <v>106</v>
      </c>
      <c r="E32" s="180"/>
      <c r="F32" s="182" t="s">
        <v>100</v>
      </c>
      <c r="G32" s="182" t="s">
        <v>101</v>
      </c>
      <c r="H32" s="182" t="s">
        <v>104</v>
      </c>
      <c r="I32" s="182" t="s">
        <v>105</v>
      </c>
      <c r="J32" s="182" t="s">
        <v>103</v>
      </c>
      <c r="K32" s="182" t="s">
        <v>102</v>
      </c>
      <c r="L32" s="207"/>
      <c r="M32" s="208"/>
    </row>
    <row r="33" spans="3:15" s="4" customFormat="1" ht="15.75">
      <c r="C33" s="180"/>
      <c r="D33" s="180"/>
      <c r="E33" s="180"/>
      <c r="F33" s="183">
        <f>H19</f>
        <v>402041.7051329688</v>
      </c>
      <c r="G33" s="183">
        <f>H22</f>
        <v>221283.93057001405</v>
      </c>
      <c r="H33" s="184">
        <f>E22</f>
        <v>400000</v>
      </c>
      <c r="I33" s="184">
        <f>KALKULATOR!CE2</f>
        <v>222917.45697863048</v>
      </c>
      <c r="J33" s="184">
        <f>I33+H33</f>
        <v>622917.4569786305</v>
      </c>
      <c r="K33" s="185">
        <f>J33-G33</f>
        <v>401633.52640861645</v>
      </c>
      <c r="L33" s="209"/>
      <c r="M33" s="210"/>
      <c r="N33" s="167" t="s">
        <v>162</v>
      </c>
      <c r="O33" s="167"/>
    </row>
    <row r="34" spans="4:10" s="4" customFormat="1" ht="15.75">
      <c r="D34" s="179"/>
      <c r="H34" s="179"/>
      <c r="I34" s="143"/>
      <c r="J34" s="10"/>
    </row>
    <row r="35" spans="3:14" s="4" customFormat="1" ht="85">
      <c r="C35" s="180"/>
      <c r="D35" s="181" t="s">
        <v>154</v>
      </c>
      <c r="E35" s="180"/>
      <c r="F35" s="182" t="s">
        <v>158</v>
      </c>
      <c r="G35" s="182" t="s">
        <v>159</v>
      </c>
      <c r="H35" s="207"/>
      <c r="I35" s="208"/>
      <c r="J35" s="182" t="s">
        <v>161</v>
      </c>
      <c r="N35" s="4" t="s">
        <v>160</v>
      </c>
    </row>
    <row r="36" spans="3:10" s="4" customFormat="1" ht="15.75">
      <c r="C36" s="180"/>
      <c r="D36" s="188"/>
      <c r="E36" s="180"/>
      <c r="F36" s="183">
        <f>I19</f>
        <v>448544.20693209866</v>
      </c>
      <c r="G36" s="183">
        <f>KALKULATOR!CN2</f>
        <v>104578.70287403745</v>
      </c>
      <c r="H36" s="212"/>
      <c r="I36" s="10"/>
      <c r="J36" s="183">
        <f>G36+F36</f>
        <v>553122.9098061362</v>
      </c>
    </row>
    <row r="37" spans="4:10" s="4" customFormat="1" ht="15.75">
      <c r="D37" s="179"/>
      <c r="H37" s="179"/>
      <c r="I37" s="143"/>
      <c r="J37" s="10"/>
    </row>
    <row r="38" spans="3:13" s="4" customFormat="1" ht="68">
      <c r="C38" s="180"/>
      <c r="D38" s="187" t="s">
        <v>122</v>
      </c>
      <c r="E38" s="188"/>
      <c r="F38" s="182" t="s">
        <v>121</v>
      </c>
      <c r="G38" s="182" t="s">
        <v>120</v>
      </c>
      <c r="H38" s="182" t="s">
        <v>164</v>
      </c>
      <c r="I38" s="182" t="s">
        <v>165</v>
      </c>
      <c r="J38" s="189" t="s">
        <v>166</v>
      </c>
      <c r="K38" s="180"/>
      <c r="L38" s="180"/>
      <c r="M38" s="180"/>
    </row>
    <row r="39" spans="3:13" s="4" customFormat="1" ht="15.75">
      <c r="C39" s="180"/>
      <c r="D39" s="180"/>
      <c r="E39" s="217" t="s">
        <v>115</v>
      </c>
      <c r="F39" s="184">
        <f>E2</f>
        <v>400000</v>
      </c>
      <c r="G39" s="184">
        <f>KALKULATOR!R2</f>
        <v>0</v>
      </c>
      <c r="H39" s="184">
        <f>G39+F39</f>
        <v>400000</v>
      </c>
      <c r="I39" s="183">
        <f>-KALKULATOR!F2+KALKULATOR!S2</f>
        <v>448544.20693209866</v>
      </c>
      <c r="J39" s="184">
        <f>I39-H39</f>
        <v>48544.20693209866</v>
      </c>
      <c r="K39" s="180" t="s">
        <v>119</v>
      </c>
      <c r="L39" s="180"/>
      <c r="M39" s="180"/>
    </row>
    <row r="40" spans="3:13" s="4" customFormat="1" ht="15.75">
      <c r="C40" s="180"/>
      <c r="D40" s="180"/>
      <c r="E40" s="217" t="s">
        <v>116</v>
      </c>
      <c r="F40" s="184">
        <f>KALKULATOR!CK4</f>
        <v>315440</v>
      </c>
      <c r="G40" s="184">
        <f>KALKULATOR!CK2-KALKULATOR!CK4</f>
        <v>0</v>
      </c>
      <c r="H40" s="184">
        <f>G40+F40</f>
        <v>315440</v>
      </c>
      <c r="I40" s="184">
        <f>-KALKULATOR!CJ2</f>
        <v>187367.41</v>
      </c>
      <c r="J40" s="184">
        <f>I40-H40</f>
        <v>-128072.59</v>
      </c>
      <c r="K40" s="180" t="s">
        <v>125</v>
      </c>
      <c r="L40" s="180"/>
      <c r="M40" s="180"/>
    </row>
    <row r="41" spans="3:13" s="4" customFormat="1" ht="15.75">
      <c r="C41" s="180"/>
      <c r="D41" s="180"/>
      <c r="E41" s="217" t="s">
        <v>117</v>
      </c>
      <c r="F41" s="184">
        <f>F40+F39</f>
        <v>715440</v>
      </c>
      <c r="G41" s="184">
        <f>G40+G39</f>
        <v>0</v>
      </c>
      <c r="H41" s="184">
        <f>H40+H39</f>
        <v>715440</v>
      </c>
      <c r="I41" s="184">
        <f>I40+I39</f>
        <v>635911.6169320986</v>
      </c>
      <c r="J41" s="184">
        <f>I41-H41</f>
        <v>-79528.38306790136</v>
      </c>
      <c r="K41" s="180" t="s">
        <v>118</v>
      </c>
      <c r="L41" s="180"/>
      <c r="M41" s="180"/>
    </row>
    <row r="42" spans="3:13" s="4" customFormat="1" ht="15.75"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</row>
    <row r="43" spans="3:13" s="4" customFormat="1" ht="15.75">
      <c r="C43" s="180"/>
      <c r="D43" s="180" t="s">
        <v>124</v>
      </c>
      <c r="E43" s="180"/>
      <c r="F43" s="180"/>
      <c r="G43" s="180"/>
      <c r="H43" s="180"/>
      <c r="I43" s="180"/>
      <c r="J43" s="180"/>
      <c r="K43" s="180"/>
      <c r="L43" s="180"/>
      <c r="M43" s="180"/>
    </row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</sheetData>
  <sheetProtection algorithmName="SHA-512" hashValue="eGIFl0si91XEuyGOeTvEaExqZklUe594VyGnnOxkYCrkmN+9IJO6GZ+QqX3nbVPhDD2GW7qpDOx1SY4zC1wjEg==" saltValue="BqEDlFOSBNh18cEYcXLh5w==" spinCount="100000" sheet="1" objects="1" scenarios="1" selectLockedCells="1"/>
  <mergeCells count="1">
    <mergeCell ref="F15:M15"/>
  </mergeCells>
  <dataValidations count="8">
    <dataValidation type="date" allowBlank="1" showInputMessage="1" showErrorMessage="1" sqref="E12">
      <formula1>37257</formula1>
      <formula2>46022</formula2>
    </dataValidation>
    <dataValidation type="whole" allowBlank="1" showInputMessage="1" showErrorMessage="1" sqref="E9">
      <formula1>0</formula1>
      <formula2>600</formula2>
    </dataValidation>
    <dataValidation type="whole" allowBlank="1" showInputMessage="1" showErrorMessage="1" sqref="E8">
      <formula1>1</formula1>
      <formula2>600</formula2>
    </dataValidation>
    <dataValidation type="date" allowBlank="1" showInputMessage="1" showErrorMessage="1" sqref="E7">
      <formula1>37257</formula1>
      <formula2>44196</formula2>
    </dataValidation>
    <dataValidation type="decimal" allowBlank="1" showInputMessage="1" showErrorMessage="1" sqref="E6 E11">
      <formula1>0</formula1>
      <formula2>100</formula2>
    </dataValidation>
    <dataValidation type="decimal" allowBlank="1" showInputMessage="1" showErrorMessage="1" sqref="E2 E4">
      <formula1>0</formula1>
      <formula2>10000000</formula2>
    </dataValidation>
    <dataValidation type="list" allowBlank="1" showInputMessage="1" showErrorMessage="1" sqref="E10">
      <formula1>$AD$10:$AD$11</formula1>
    </dataValidation>
    <dataValidation type="list" allowBlank="1" showInputMessage="1" showErrorMessage="1" sqref="E3">
      <formula1>Dane!$N$2:$N$4</formula1>
    </dataValidation>
  </dataValidations>
  <printOptions/>
  <pageMargins left="0.7" right="0.7" top="0.75" bottom="0.75" header="0.3" footer="0.3"/>
  <pageSetup orientation="portrait" paperSize="9"/>
  <ignoredErrors>
    <ignoredError sqref="E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272"/>
  <sheetViews>
    <sheetView workbookViewId="0" topLeftCell="A1">
      <pane xSplit="2" ySplit="4" topLeftCell="C227" activePane="bottomRight" state="frozen"/>
      <selection pane="topRight" activeCell="C1" sqref="C1"/>
      <selection pane="bottomLeft" activeCell="A5" sqref="A5"/>
      <selection pane="bottomRight" activeCell="B272" sqref="B272"/>
    </sheetView>
  </sheetViews>
  <sheetFormatPr defaultColWidth="8.875" defaultRowHeight="15.75"/>
  <cols>
    <col min="1" max="1" width="8.125" style="4" customWidth="1"/>
    <col min="2" max="2" width="9.00390625" style="5" customWidth="1"/>
    <col min="3" max="3" width="21.375" style="4" customWidth="1"/>
    <col min="4" max="4" width="31.125" style="4" customWidth="1"/>
    <col min="5" max="5" width="17.50390625" style="4" customWidth="1"/>
    <col min="6" max="6" width="17.875" style="4" customWidth="1"/>
    <col min="7" max="7" width="14.625" style="4" customWidth="1"/>
    <col min="8" max="8" width="13.625" style="4" customWidth="1"/>
    <col min="9" max="9" width="13.50390625" style="4" customWidth="1"/>
    <col min="10" max="10" width="14.625" style="4" customWidth="1"/>
    <col min="11" max="11" width="14.125" style="4" customWidth="1"/>
    <col min="12" max="12" width="26.375" style="1" customWidth="1"/>
    <col min="13" max="13" width="16.625" style="1" customWidth="1"/>
    <col min="14" max="15" width="14.125" style="1" customWidth="1"/>
    <col min="16" max="16" width="14.125" style="48" customWidth="1"/>
    <col min="17" max="17" width="10.875" style="48" customWidth="1"/>
    <col min="18" max="19" width="14.125" style="49" customWidth="1"/>
    <col min="20" max="22" width="14.125" style="50" customWidth="1"/>
    <col min="23" max="24" width="14.125" style="51" customWidth="1"/>
    <col min="25" max="25" width="15.50390625" style="51" customWidth="1"/>
    <col min="26" max="26" width="15.00390625" style="51" customWidth="1"/>
    <col min="27" max="27" width="14.375" style="51" customWidth="1"/>
    <col min="28" max="29" width="8.00390625" style="1" customWidth="1"/>
    <col min="30" max="30" width="10.125" style="51" customWidth="1"/>
    <col min="31" max="31" width="10.375" style="51" customWidth="1"/>
    <col min="32" max="32" width="8.875" style="4" customWidth="1"/>
    <col min="33" max="33" width="10.375" style="10" customWidth="1"/>
    <col min="34" max="34" width="9.50390625" style="10" customWidth="1"/>
    <col min="35" max="35" width="9.00390625" style="10" customWidth="1"/>
    <col min="36" max="36" width="11.125" style="10" customWidth="1"/>
    <col min="37" max="37" width="14.375" style="10" customWidth="1"/>
    <col min="38" max="38" width="10.375" style="10" customWidth="1"/>
    <col min="39" max="41" width="9.00390625" style="10" customWidth="1"/>
    <col min="42" max="42" width="11.50390625" style="4" customWidth="1"/>
    <col min="43" max="43" width="8.875" style="4" customWidth="1"/>
    <col min="44" max="44" width="12.00390625" style="4" customWidth="1"/>
    <col min="45" max="46" width="10.125" style="4" customWidth="1"/>
    <col min="47" max="47" width="13.00390625" style="4" customWidth="1"/>
    <col min="48" max="48" width="10.125" style="4" customWidth="1"/>
    <col min="49" max="49" width="11.375" style="4" customWidth="1"/>
    <col min="50" max="50" width="8.875" style="4" customWidth="1"/>
    <col min="51" max="51" width="10.375" style="11" customWidth="1"/>
    <col min="52" max="55" width="10.875" style="11" customWidth="1"/>
    <col min="56" max="58" width="8.875" style="4" customWidth="1"/>
    <col min="59" max="59" width="10.375" style="4" customWidth="1"/>
    <col min="60" max="60" width="11.50390625" style="10" customWidth="1"/>
    <col min="61" max="61" width="10.625" style="10" customWidth="1"/>
    <col min="62" max="62" width="10.50390625" style="10" customWidth="1"/>
    <col min="63" max="64" width="8.875" style="4" customWidth="1"/>
    <col min="65" max="67" width="10.875" style="4" bestFit="1" customWidth="1"/>
    <col min="68" max="69" width="8.875" style="4" customWidth="1"/>
    <col min="70" max="70" width="11.50390625" style="4" customWidth="1"/>
    <col min="71" max="71" width="12.125" style="4" customWidth="1"/>
    <col min="72" max="72" width="12.375" style="4" customWidth="1"/>
    <col min="73" max="73" width="11.875" style="4" customWidth="1"/>
    <col min="74" max="76" width="8.875" style="4" customWidth="1"/>
    <col min="77" max="77" width="11.375" style="4" customWidth="1"/>
    <col min="78" max="78" width="12.00390625" style="4" customWidth="1"/>
    <col min="79" max="79" width="11.875" style="4" customWidth="1"/>
    <col min="80" max="81" width="8.875" style="4" customWidth="1"/>
    <col min="82" max="82" width="12.00390625" style="10" customWidth="1"/>
    <col min="83" max="83" width="11.125" style="10" customWidth="1"/>
    <col min="84" max="84" width="11.50390625" style="10" customWidth="1"/>
    <col min="85" max="85" width="12.00390625" style="10" customWidth="1"/>
    <col min="86" max="86" width="8.875" style="4" customWidth="1"/>
    <col min="87" max="87" width="14.875" style="4" customWidth="1"/>
    <col min="88" max="88" width="12.50390625" style="4" customWidth="1"/>
    <col min="89" max="89" width="12.625" style="4" customWidth="1"/>
    <col min="90" max="90" width="8.875" style="4" customWidth="1"/>
    <col min="91" max="91" width="11.00390625" style="4" customWidth="1"/>
    <col min="92" max="92" width="10.125" style="4" customWidth="1"/>
    <col min="93" max="16384" width="8.875" style="4" customWidth="1"/>
  </cols>
  <sheetData>
    <row r="1" spans="2:91" s="52" customFormat="1" ht="24" customHeight="1">
      <c r="B1" s="53"/>
      <c r="C1" s="74"/>
      <c r="D1" s="75"/>
      <c r="E1" s="76" t="s">
        <v>36</v>
      </c>
      <c r="G1" s="76" t="s">
        <v>64</v>
      </c>
      <c r="L1" s="54"/>
      <c r="M1" s="54"/>
      <c r="N1" s="2"/>
      <c r="O1" s="54"/>
      <c r="P1" s="55"/>
      <c r="Q1" s="55"/>
      <c r="R1" s="56"/>
      <c r="S1" s="56"/>
      <c r="T1" s="57"/>
      <c r="U1" s="57"/>
      <c r="V1" s="57"/>
      <c r="W1" s="2"/>
      <c r="X1" s="2"/>
      <c r="Y1" s="2"/>
      <c r="Z1" s="2"/>
      <c r="AA1" s="2"/>
      <c r="AB1" s="54"/>
      <c r="AC1" s="54"/>
      <c r="AD1" s="2"/>
      <c r="AE1" s="2"/>
      <c r="AG1" s="76" t="s">
        <v>29</v>
      </c>
      <c r="AH1" s="58"/>
      <c r="AI1" s="58"/>
      <c r="AJ1" s="58"/>
      <c r="AK1" s="58"/>
      <c r="AL1" s="58"/>
      <c r="AM1" s="58"/>
      <c r="AN1" s="58"/>
      <c r="AO1" s="58"/>
      <c r="AR1" s="74" t="s">
        <v>32</v>
      </c>
      <c r="AY1" s="59"/>
      <c r="AZ1" s="59"/>
      <c r="BA1" s="59"/>
      <c r="BB1" s="59"/>
      <c r="BC1" s="59"/>
      <c r="BE1" s="74" t="s">
        <v>31</v>
      </c>
      <c r="BH1" s="58"/>
      <c r="BI1" s="58"/>
      <c r="BJ1" s="58"/>
      <c r="BQ1" s="136" t="s">
        <v>85</v>
      </c>
      <c r="CD1" s="3" t="s">
        <v>97</v>
      </c>
      <c r="CE1" s="58"/>
      <c r="CF1" s="58"/>
      <c r="CG1" s="58"/>
      <c r="CI1" s="74" t="s">
        <v>114</v>
      </c>
      <c r="CM1" s="74" t="s">
        <v>155</v>
      </c>
    </row>
    <row r="2" spans="3:92" ht="15.75" customHeight="1" thickBot="1">
      <c r="C2" s="115">
        <f>VLOOKUP(C4,waluta,2)</f>
        <v>2</v>
      </c>
      <c r="D2" s="6" t="s">
        <v>14</v>
      </c>
      <c r="E2" s="7">
        <f>SUM(E5:E269)</f>
        <v>-121850.1302896691</v>
      </c>
      <c r="F2" s="7">
        <f>SUM(F5:F269)</f>
        <v>-448544.20693209866</v>
      </c>
      <c r="G2" s="7">
        <f>SUM(G5:G269)</f>
        <v>-268750.94146507035</v>
      </c>
      <c r="H2" s="7">
        <f>SUM(H5:H269)</f>
        <v>179793.2654670286</v>
      </c>
      <c r="I2" s="7"/>
      <c r="L2" s="92"/>
      <c r="M2" s="92"/>
      <c r="N2" s="90"/>
      <c r="O2" s="90"/>
      <c r="P2" s="9" t="s">
        <v>14</v>
      </c>
      <c r="Q2" s="9"/>
      <c r="R2" s="7">
        <f aca="true" t="shared" si="0" ref="R2:AB2">SUM(R5:R269)</f>
        <v>0</v>
      </c>
      <c r="S2" s="7">
        <f t="shared" si="0"/>
        <v>0</v>
      </c>
      <c r="T2" s="7">
        <f t="shared" si="0"/>
        <v>-65944.1164494725</v>
      </c>
      <c r="U2" s="7">
        <f t="shared" si="0"/>
        <v>-268750.94146507035</v>
      </c>
      <c r="V2" s="7">
        <f t="shared" si="0"/>
        <v>-202806.8250155976</v>
      </c>
      <c r="W2" s="7">
        <f t="shared" si="0"/>
        <v>0</v>
      </c>
      <c r="X2" s="7">
        <f t="shared" si="0"/>
        <v>0</v>
      </c>
      <c r="Y2" s="7">
        <f t="shared" si="0"/>
        <v>-29898.68291214783</v>
      </c>
      <c r="Z2" s="7">
        <f t="shared" si="0"/>
        <v>-121850.1302896691</v>
      </c>
      <c r="AA2" s="7">
        <f t="shared" si="0"/>
        <v>-91951.44737752131</v>
      </c>
      <c r="AB2" s="7">
        <f t="shared" si="0"/>
        <v>198</v>
      </c>
      <c r="AC2" s="7"/>
      <c r="AD2" s="7">
        <f>SUM(AD5:AD269)</f>
        <v>232782.32977134472</v>
      </c>
      <c r="AE2" s="7">
        <f>SUM(AE5:AE269)</f>
        <v>50170.93605632206</v>
      </c>
      <c r="AG2" s="3" t="s">
        <v>36</v>
      </c>
      <c r="AJ2" s="7">
        <f>SUM(AJ5:AJ269)</f>
        <v>128788.21999999993</v>
      </c>
      <c r="AK2" s="7">
        <f>SUM(AK5:AK269)</f>
        <v>466663.92000000004</v>
      </c>
      <c r="AL2" s="3" t="s">
        <v>39</v>
      </c>
      <c r="AO2" s="7">
        <f>SUM(AO5:AO269)</f>
        <v>284053.8299999999</v>
      </c>
      <c r="AP2" s="7">
        <f>SUM(AP5:AP269)</f>
        <v>182610.09000000008</v>
      </c>
      <c r="AR2" s="4" t="s">
        <v>46</v>
      </c>
      <c r="AT2" s="7">
        <f>SUM(AT5:AT269)</f>
        <v>-29001.722424783395</v>
      </c>
      <c r="AU2" s="7">
        <f>SUM(AU5:AU269)</f>
        <v>-118194.62638097888</v>
      </c>
      <c r="AV2" s="7">
        <f>SUM(AV5:AV269)</f>
        <v>-89192.9039561957</v>
      </c>
      <c r="AW2" s="7">
        <f>SUM(AW5:AW269)</f>
        <v>-422415.4181787725</v>
      </c>
      <c r="AY2" s="11" t="s">
        <v>47</v>
      </c>
      <c r="AZ2" s="7">
        <f>SUM(AZ5:AZ269)</f>
        <v>-29001.722424783395</v>
      </c>
      <c r="BA2" s="7">
        <f>SUM(BA5:BA269)</f>
        <v>-97023.96000000008</v>
      </c>
      <c r="BB2" s="7">
        <f>SUM(BB5:BB269)</f>
        <v>-126025.68242478346</v>
      </c>
      <c r="BC2" s="7">
        <f>SUM(BC5:BC269)</f>
        <v>-443488.7802217039</v>
      </c>
      <c r="BE2" s="4" t="s">
        <v>46</v>
      </c>
      <c r="BH2" s="7">
        <f>SUM(BH5:BH269)</f>
        <v>-157127.65998905967</v>
      </c>
      <c r="BI2" s="7">
        <f>SUM(BI5:BI269)</f>
        <v>-252262.55547654777</v>
      </c>
      <c r="BJ2" s="7">
        <f>SUM(BJ5:BJ269)</f>
        <v>-409390.21546560695</v>
      </c>
      <c r="BL2" s="11" t="s">
        <v>47</v>
      </c>
      <c r="BM2" s="7">
        <f>SUM(BM5:BM269)</f>
        <v>-222338.9708449397</v>
      </c>
      <c r="BN2" s="7">
        <f>SUM(BN5:BN269)</f>
        <v>-220612.81337047296</v>
      </c>
      <c r="BO2" s="7">
        <f>SUM(BO5:BO269)</f>
        <v>-442951.7842154134</v>
      </c>
      <c r="BQ2" s="147" t="s">
        <v>46</v>
      </c>
      <c r="BR2" s="36"/>
      <c r="BS2" s="7">
        <f>SUM(BS5:BS269)</f>
        <v>-161635.16642810448</v>
      </c>
      <c r="BT2" s="7">
        <f>SUM(BT5:BT269)</f>
        <v>-260961.0799110967</v>
      </c>
      <c r="BU2" s="7">
        <f>SUM(BU5:BU269)</f>
        <v>-422596.246339201</v>
      </c>
      <c r="BV2" s="7"/>
      <c r="BX2" s="148" t="s">
        <v>47</v>
      </c>
      <c r="BY2" s="7">
        <f>SUM(BY5:BY269)</f>
        <v>-222917.45697863048</v>
      </c>
      <c r="BZ2" s="7">
        <f>SUM(BZ5:BZ269)</f>
        <v>-220443.15711088284</v>
      </c>
      <c r="CA2" s="7">
        <f>SUM(CA5:CA269)</f>
        <v>-443360.6140895132</v>
      </c>
      <c r="CB2" s="36"/>
      <c r="CD2" s="3"/>
      <c r="CE2" s="10">
        <f>SUM(CE5:CE269)</f>
        <v>222917.45697863048</v>
      </c>
      <c r="CI2" s="36"/>
      <c r="CJ2" s="146">
        <f>SUM(CJ5:CJ269)</f>
        <v>-187367.41</v>
      </c>
      <c r="CK2" s="146">
        <f>SUM(CK4:CK269)</f>
        <v>315440</v>
      </c>
      <c r="CN2" s="146">
        <f>-SUM(CN4:CN269)</f>
        <v>104578.70287403745</v>
      </c>
    </row>
    <row r="3" spans="1:92" s="19" customFormat="1" ht="32" customHeight="1" thickBot="1">
      <c r="A3" s="12"/>
      <c r="B3" s="13"/>
      <c r="C3" s="14" t="s">
        <v>50</v>
      </c>
      <c r="D3" s="15" t="s">
        <v>23</v>
      </c>
      <c r="E3" s="16" t="s">
        <v>3</v>
      </c>
      <c r="F3" s="17" t="s">
        <v>3</v>
      </c>
      <c r="G3" s="17" t="s">
        <v>4</v>
      </c>
      <c r="H3" s="17" t="s">
        <v>5</v>
      </c>
      <c r="I3" s="18"/>
      <c r="K3" s="19" t="s">
        <v>37</v>
      </c>
      <c r="L3" s="93" t="s">
        <v>83</v>
      </c>
      <c r="M3" s="94" t="s">
        <v>84</v>
      </c>
      <c r="N3" s="95" t="s">
        <v>11</v>
      </c>
      <c r="O3" s="96" t="s">
        <v>11</v>
      </c>
      <c r="P3" s="80" t="s">
        <v>17</v>
      </c>
      <c r="Q3" s="81" t="s">
        <v>20</v>
      </c>
      <c r="R3" s="82" t="s">
        <v>21</v>
      </c>
      <c r="S3" s="83" t="s">
        <v>16</v>
      </c>
      <c r="T3" s="84" t="s">
        <v>22</v>
      </c>
      <c r="U3" s="85" t="s">
        <v>12</v>
      </c>
      <c r="V3" s="85" t="s">
        <v>9</v>
      </c>
      <c r="W3" s="86" t="s">
        <v>21</v>
      </c>
      <c r="X3" s="85" t="s">
        <v>16</v>
      </c>
      <c r="Y3" s="87" t="s">
        <v>10</v>
      </c>
      <c r="Z3" s="86" t="s">
        <v>12</v>
      </c>
      <c r="AA3" s="86" t="s">
        <v>9</v>
      </c>
      <c r="AB3" s="17" t="s">
        <v>13</v>
      </c>
      <c r="AC3" s="192"/>
      <c r="AD3" s="193" t="s">
        <v>138</v>
      </c>
      <c r="AE3" s="193" t="s">
        <v>138</v>
      </c>
      <c r="AG3" s="10" t="s">
        <v>27</v>
      </c>
      <c r="AH3" s="23" t="s">
        <v>10</v>
      </c>
      <c r="AI3" s="23" t="s">
        <v>9</v>
      </c>
      <c r="AJ3" s="23" t="s">
        <v>35</v>
      </c>
      <c r="AK3" s="23" t="s">
        <v>38</v>
      </c>
      <c r="AL3" s="23" t="s">
        <v>27</v>
      </c>
      <c r="AM3" s="23" t="s">
        <v>10</v>
      </c>
      <c r="AN3" s="23" t="s">
        <v>9</v>
      </c>
      <c r="AO3" s="23" t="s">
        <v>35</v>
      </c>
      <c r="AP3" s="19" t="s">
        <v>40</v>
      </c>
      <c r="AR3" s="24" t="s">
        <v>33</v>
      </c>
      <c r="AS3" s="20" t="s">
        <v>11</v>
      </c>
      <c r="AT3" s="22" t="s">
        <v>10</v>
      </c>
      <c r="AU3" s="21" t="s">
        <v>12</v>
      </c>
      <c r="AV3" s="21" t="s">
        <v>9</v>
      </c>
      <c r="AW3" s="12" t="s">
        <v>4</v>
      </c>
      <c r="AY3" s="25" t="s">
        <v>11</v>
      </c>
      <c r="AZ3" s="26" t="s">
        <v>10</v>
      </c>
      <c r="BA3" s="27" t="s">
        <v>9</v>
      </c>
      <c r="BB3" s="27" t="s">
        <v>48</v>
      </c>
      <c r="BC3" s="28" t="s">
        <v>4</v>
      </c>
      <c r="BE3" s="19" t="s">
        <v>34</v>
      </c>
      <c r="BF3" s="19" t="s">
        <v>28</v>
      </c>
      <c r="BG3" s="19" t="s">
        <v>11</v>
      </c>
      <c r="BH3" s="23" t="s">
        <v>9</v>
      </c>
      <c r="BI3" s="23" t="s">
        <v>22</v>
      </c>
      <c r="BJ3" s="23" t="s">
        <v>35</v>
      </c>
      <c r="BL3" s="25" t="s">
        <v>11</v>
      </c>
      <c r="BM3" s="26" t="s">
        <v>10</v>
      </c>
      <c r="BN3" s="27" t="s">
        <v>9</v>
      </c>
      <c r="BO3" s="27" t="s">
        <v>48</v>
      </c>
      <c r="BQ3" s="12" t="s">
        <v>28</v>
      </c>
      <c r="BR3" s="12" t="s">
        <v>11</v>
      </c>
      <c r="BS3" s="144" t="s">
        <v>9</v>
      </c>
      <c r="BT3" s="144" t="s">
        <v>22</v>
      </c>
      <c r="BU3" s="144" t="s">
        <v>35</v>
      </c>
      <c r="BV3" s="144" t="s">
        <v>90</v>
      </c>
      <c r="BX3" s="25" t="s">
        <v>11</v>
      </c>
      <c r="BY3" s="26" t="s">
        <v>10</v>
      </c>
      <c r="BZ3" s="27" t="s">
        <v>9</v>
      </c>
      <c r="CA3" s="27" t="s">
        <v>48</v>
      </c>
      <c r="CB3" s="144" t="s">
        <v>90</v>
      </c>
      <c r="CD3" s="177" t="s">
        <v>11</v>
      </c>
      <c r="CE3" s="22" t="s">
        <v>98</v>
      </c>
      <c r="CF3" s="21" t="s">
        <v>99</v>
      </c>
      <c r="CG3" s="144" t="s">
        <v>90</v>
      </c>
      <c r="CI3" s="12" t="s">
        <v>108</v>
      </c>
      <c r="CJ3" s="12" t="s">
        <v>109</v>
      </c>
      <c r="CK3" s="12" t="s">
        <v>112</v>
      </c>
      <c r="CM3" s="19" t="s">
        <v>156</v>
      </c>
      <c r="CN3" s="19" t="s">
        <v>157</v>
      </c>
    </row>
    <row r="4" spans="1:91" ht="17" thickBot="1">
      <c r="A4" s="29" t="s">
        <v>6</v>
      </c>
      <c r="B4" s="30" t="s">
        <v>49</v>
      </c>
      <c r="C4" s="114" t="str">
        <f>Podsumowanie!E3</f>
        <v>CHF</v>
      </c>
      <c r="D4" s="116" t="str">
        <f>C4</f>
        <v>CHF</v>
      </c>
      <c r="E4" s="117" t="str">
        <f>D4</f>
        <v>CHF</v>
      </c>
      <c r="F4" s="8" t="s">
        <v>8</v>
      </c>
      <c r="G4" s="8" t="s">
        <v>8</v>
      </c>
      <c r="H4" s="31" t="s">
        <v>8</v>
      </c>
      <c r="I4" s="32"/>
      <c r="L4" s="97"/>
      <c r="M4" s="98"/>
      <c r="N4" s="118" t="str">
        <f>C4</f>
        <v>CHF</v>
      </c>
      <c r="O4" s="99" t="s">
        <v>8</v>
      </c>
      <c r="P4" s="39"/>
      <c r="Q4" s="40"/>
      <c r="R4" s="41" t="s">
        <v>8</v>
      </c>
      <c r="S4" s="42" t="s">
        <v>8</v>
      </c>
      <c r="T4" s="88" t="s">
        <v>8</v>
      </c>
      <c r="U4" s="89" t="s">
        <v>8</v>
      </c>
      <c r="V4" s="89" t="s">
        <v>8</v>
      </c>
      <c r="W4" s="90" t="str">
        <f>C4</f>
        <v>CHF</v>
      </c>
      <c r="X4" s="90" t="str">
        <f>C4</f>
        <v>CHF</v>
      </c>
      <c r="Y4" s="91" t="str">
        <f>C4</f>
        <v>CHF</v>
      </c>
      <c r="Z4" s="90" t="str">
        <f>C4</f>
        <v>CHF</v>
      </c>
      <c r="AA4" s="90" t="str">
        <f>C4</f>
        <v>CHF</v>
      </c>
      <c r="AB4" s="8"/>
      <c r="AD4" s="51" t="s">
        <v>8</v>
      </c>
      <c r="AE4" s="51" t="str">
        <f>C4</f>
        <v>CHF</v>
      </c>
      <c r="AG4" s="10" t="str">
        <f>C4</f>
        <v>CHF</v>
      </c>
      <c r="AH4" s="10" t="str">
        <f>C4</f>
        <v>CHF</v>
      </c>
      <c r="AI4" s="10" t="str">
        <f>C4</f>
        <v>CHF</v>
      </c>
      <c r="AJ4" s="10" t="str">
        <f>C4</f>
        <v>CHF</v>
      </c>
      <c r="AK4" s="10" t="s">
        <v>8</v>
      </c>
      <c r="AL4" s="10" t="s">
        <v>8</v>
      </c>
      <c r="AM4" s="10" t="s">
        <v>8</v>
      </c>
      <c r="AN4" s="10" t="s">
        <v>8</v>
      </c>
      <c r="AO4" s="10" t="s">
        <v>8</v>
      </c>
      <c r="AP4" s="4" t="s">
        <v>8</v>
      </c>
      <c r="AR4" s="35"/>
      <c r="AS4" s="119" t="str">
        <f>C4</f>
        <v>CHF</v>
      </c>
      <c r="AT4" s="34" t="str">
        <f>C4</f>
        <v>CHF</v>
      </c>
      <c r="AU4" s="7" t="str">
        <f>C4</f>
        <v>CHF</v>
      </c>
      <c r="AV4" s="7" t="str">
        <f>C4</f>
        <v>CHF</v>
      </c>
      <c r="AW4" s="36" t="s">
        <v>8</v>
      </c>
      <c r="AY4" s="119" t="str">
        <f>C4</f>
        <v>CHF</v>
      </c>
      <c r="AZ4" s="34" t="str">
        <f>C4</f>
        <v>CHF</v>
      </c>
      <c r="BA4" s="7" t="str">
        <f>C4</f>
        <v>CHF</v>
      </c>
      <c r="BB4" s="7" t="str">
        <f>C4</f>
        <v>CHF</v>
      </c>
      <c r="BC4" s="36" t="s">
        <v>8</v>
      </c>
      <c r="BL4" s="33" t="s">
        <v>8</v>
      </c>
      <c r="BM4" s="34" t="s">
        <v>8</v>
      </c>
      <c r="BN4" s="7" t="s">
        <v>8</v>
      </c>
      <c r="BO4" s="7" t="s">
        <v>8</v>
      </c>
      <c r="BP4" s="4" t="s">
        <v>94</v>
      </c>
      <c r="BQ4" s="145">
        <f>Podsumowanie!E29</f>
        <v>0.0121</v>
      </c>
      <c r="BR4" s="36"/>
      <c r="BS4" s="146"/>
      <c r="BT4" s="146"/>
      <c r="BU4" s="146"/>
      <c r="BV4" s="146"/>
      <c r="BX4" s="33" t="s">
        <v>8</v>
      </c>
      <c r="BY4" s="34" t="s">
        <v>8</v>
      </c>
      <c r="BZ4" s="7" t="s">
        <v>8</v>
      </c>
      <c r="CA4" s="7" t="s">
        <v>8</v>
      </c>
      <c r="CB4" s="36"/>
      <c r="CD4" s="178" t="s">
        <v>8</v>
      </c>
      <c r="CE4" s="34" t="s">
        <v>8</v>
      </c>
      <c r="CF4" s="7" t="s">
        <v>8</v>
      </c>
      <c r="CG4" s="146"/>
      <c r="CI4" s="36" t="s">
        <v>107</v>
      </c>
      <c r="CJ4" s="36"/>
      <c r="CK4" s="146">
        <f>ROUND(VLOOKUP(Podsumowanie!E7,Inflacja,2)*Podsumowanie!E2,2)</f>
        <v>315440</v>
      </c>
      <c r="CL4" s="4" t="s">
        <v>123</v>
      </c>
      <c r="CM4" s="4" t="s">
        <v>8</v>
      </c>
    </row>
    <row r="5" spans="1:92" ht="15.75">
      <c r="A5" s="36">
        <v>2002</v>
      </c>
      <c r="B5" s="37">
        <v>37257</v>
      </c>
      <c r="C5" s="77">
        <f aca="true" t="shared" si="1" ref="C5:C68">VLOOKUP(B5,Kursy,C$2)</f>
        <v>2.4382</v>
      </c>
      <c r="D5" s="78">
        <f>C5*(1+Podsumowanie!E$11)</f>
        <v>2.511346</v>
      </c>
      <c r="E5" s="34">
        <f>Z5</f>
        <v>0</v>
      </c>
      <c r="F5" s="7">
        <f>E5*D5</f>
        <v>0</v>
      </c>
      <c r="G5" s="7">
        <f>U5</f>
        <v>0</v>
      </c>
      <c r="H5" s="7">
        <f>G5-F5</f>
        <v>0</v>
      </c>
      <c r="I5" s="32"/>
      <c r="J5" s="4" t="str">
        <f>IF(H5&lt;0,"Ze względu na spadek kursu CHF, rata jest korzystniejsza niż bez klauzuli indeksacyjnej"," ")</f>
        <v xml:space="preserve"> </v>
      </c>
      <c r="K5" s="4">
        <f>IF(B5&lt;Podsumowanie!E$7,0,K4+1)</f>
        <v>0</v>
      </c>
      <c r="L5" s="100">
        <f aca="true" t="shared" si="2" ref="L5:L68">VLOOKUP(B5,Oproc,C$2)</f>
        <v>0.018267</v>
      </c>
      <c r="M5" s="38">
        <f>L5+Podsumowanie!E$6</f>
        <v>0.030267</v>
      </c>
      <c r="N5" s="101">
        <f>Podsumowanie!E$4</f>
        <v>181357.6981355522</v>
      </c>
      <c r="O5" s="102">
        <f>Podsumowanie!E2</f>
        <v>400000</v>
      </c>
      <c r="P5" s="39">
        <f>Podsumowanie!E8</f>
        <v>360</v>
      </c>
      <c r="Q5" s="40" t="str">
        <f>IF(AND(K5&gt;0,K5&lt;=Podsumowanie!E$9),"tak","nie")</f>
        <v>nie</v>
      </c>
      <c r="R5" s="41"/>
      <c r="S5" s="42"/>
      <c r="T5" s="88">
        <f>IF(AB5=1,-O5*M5/12,0)</f>
        <v>0</v>
      </c>
      <c r="U5" s="89">
        <f>IF(Q5="tak",T5,IF(P5-SUM(AB$5:AB5)+1&gt;0,IF(Podsumowanie!E$7&lt;B5,IF(SUM(AB$5:AB5)-Podsumowanie!E$9+1&gt;0,PMT(M5/12,P5+1-SUM(AB$5:AB5),O5),T5),0),0))</f>
        <v>0</v>
      </c>
      <c r="V5" s="89">
        <f>U5-T5</f>
        <v>0</v>
      </c>
      <c r="W5" s="90" t="str">
        <f>IF(R5&gt;0,R5/(C5*(1-Podsumowanie!E$11))," ")</f>
        <v xml:space="preserve"> </v>
      </c>
      <c r="X5" s="90">
        <f>IF(S5&gt;0,S5/D5,0)</f>
        <v>0</v>
      </c>
      <c r="Y5" s="91">
        <f aca="true" t="shared" si="3" ref="Y5:Y81">IF(AB5=1,-N5*M5/12,0)</f>
        <v>0</v>
      </c>
      <c r="Z5" s="90">
        <f>IF(P5-SUM(AB$5:AB5)+1&gt;0,IF(Podsumowanie!E$7&lt;B5,IF(SUM(AB$5:AB5)-Podsumowanie!E$9+1&gt;0,PMT(M5/12,P5+1-SUM(AB$5:AB5),N5),Y5),0),0)</f>
        <v>0</v>
      </c>
      <c r="AA5" s="90">
        <f>Z5-Y5</f>
        <v>0</v>
      </c>
      <c r="AB5" s="8">
        <v>0</v>
      </c>
      <c r="AC5" s="1" t="str">
        <f>IF(B5&lt;Podsumowanie!E$12,"tak",)</f>
        <v>tak</v>
      </c>
      <c r="AD5" s="51">
        <f>IF(OR(B5&lt;Podsumowanie!E$12,Podsumowanie!E$12=""),-F5+S5,0)</f>
        <v>0</v>
      </c>
      <c r="AE5" s="51">
        <f>IF(AD5=0,-E5+X5,0)</f>
        <v>0</v>
      </c>
      <c r="AG5" s="10">
        <f>Podsumowanie!E$4</f>
        <v>181357.6981355522</v>
      </c>
      <c r="AH5" s="10">
        <f>IF(AB5=1,ROUND(AG5*M5/12,2),0)</f>
        <v>0</v>
      </c>
      <c r="AI5" s="10">
        <f>IF(Q5="tak",0,IF(AB5=1,ROUND(AG5/(P5-K5+1),2),0))</f>
        <v>0</v>
      </c>
      <c r="AJ5" s="10">
        <f>AI5+AH5</f>
        <v>0</v>
      </c>
      <c r="AK5" s="10">
        <f>ROUND(AJ5*D5,2)</f>
        <v>0</v>
      </c>
      <c r="AL5" s="10">
        <f>Podsumowanie!E$2</f>
        <v>400000</v>
      </c>
      <c r="AM5" s="10">
        <f>IF(AB5=1,ROUND(AL5*M5/12,2),0)</f>
        <v>0</v>
      </c>
      <c r="AN5" s="10">
        <f>IF(Q5="tak",0,IF(AB5=1,ROUND(AL5/(P5-K5+1),2),0))</f>
        <v>0</v>
      </c>
      <c r="AO5" s="10">
        <f>AN5+AM5</f>
        <v>0</v>
      </c>
      <c r="AP5" s="10">
        <f>AK5-AO5</f>
        <v>0</v>
      </c>
      <c r="AQ5" s="4" t="s">
        <v>30</v>
      </c>
      <c r="AR5" s="43">
        <f>B5</f>
        <v>37257</v>
      </c>
      <c r="AS5" s="11">
        <f>Podsumowanie!E2/VLOOKUP(Podsumowanie!E7,Kursy,VLOOKUP(E4,waluta,2))</f>
        <v>175916.96719148563</v>
      </c>
      <c r="AT5" s="10">
        <f>IF(AB5=1,-AS5*M5/12,0)</f>
        <v>0</v>
      </c>
      <c r="AU5" s="10">
        <f>IF(AB5=1,IF(Q5="tak",AT5,PMT(M5/12,P5+1-SUM(AB$5:AB5),AS5)),0)</f>
        <v>0</v>
      </c>
      <c r="AV5" s="10">
        <f>AU5-AT5</f>
        <v>0</v>
      </c>
      <c r="AW5" s="10">
        <f>AU5*C5</f>
        <v>0</v>
      </c>
      <c r="AY5" s="11">
        <f>Podsumowanie!E2/VLOOKUP(Podsumowanie!E7,Kursy,VLOOKUP(E4,waluta,2))</f>
        <v>175916.96719148563</v>
      </c>
      <c r="AZ5" s="11">
        <f>IF(AB5=1,-AS5*M5/12,0)</f>
        <v>0</v>
      </c>
      <c r="BA5" s="11">
        <f>IF(AB5=1,IF(Q5="tak",0,ROUND(-AY5/(P5-K5+1),2)),0)</f>
        <v>0</v>
      </c>
      <c r="BB5" s="11">
        <f>BA5+AZ5</f>
        <v>0</v>
      </c>
      <c r="BC5" s="11">
        <f>BB5*C5</f>
        <v>0</v>
      </c>
      <c r="BE5" s="172">
        <f aca="true" t="shared" si="4" ref="BE5:BE68">VLOOKUP(B5,Oproc,5)</f>
        <v>0.1182</v>
      </c>
      <c r="BF5" s="44">
        <f>BE5+Podsumowanie!$E$6</f>
        <v>0.1302</v>
      </c>
      <c r="BG5" s="11">
        <f>Podsumowanie!E2</f>
        <v>400000</v>
      </c>
      <c r="BH5" s="10">
        <f>IF(BJ5&lt;0,BJ5-BI5,0)</f>
        <v>0</v>
      </c>
      <c r="BI5" s="10">
        <f>IF(BJ5&lt;0,-BG5*BF5/12,0)</f>
        <v>0</v>
      </c>
      <c r="BJ5" s="10">
        <f>IF(U5&lt;0,PMT(BF5/12,Podsumowanie!E$8-SUM(AB$5:AB5)+1,BG5),0)</f>
        <v>0</v>
      </c>
      <c r="BL5" s="11">
        <f>Podsumowanie!E2</f>
        <v>400000</v>
      </c>
      <c r="BM5" s="11">
        <f aca="true" t="shared" si="5" ref="BM5:BM68">IF(AB5=1,-BF5*BL5/12,0)</f>
        <v>0</v>
      </c>
      <c r="BN5" s="11">
        <f aca="true" t="shared" si="6" ref="BN5:BN68">IF(AB5=1,-BL5/(P5-K5+1),0)</f>
        <v>0</v>
      </c>
      <c r="BO5" s="11">
        <f aca="true" t="shared" si="7" ref="BO5:BO68">BN5+BM5</f>
        <v>0</v>
      </c>
      <c r="BQ5" s="44">
        <f aca="true" t="shared" si="8" ref="BQ5:BQ68">BE5+$BQ$4</f>
        <v>0.1303</v>
      </c>
      <c r="BR5" s="11">
        <f>Podsumowanie!E2</f>
        <v>400000</v>
      </c>
      <c r="BS5" s="10">
        <f>IF(BU5&lt;0,BU5-BT5,0)</f>
        <v>0</v>
      </c>
      <c r="BT5" s="10">
        <f>IF(BU5&lt;0,-BR5*BQ5/12,0)</f>
        <v>0</v>
      </c>
      <c r="BU5" s="10">
        <f>IF(U5&lt;0,PMT(BQ5/12,Podsumowanie!E$8-SUM(AB$5:AB5)+1,BR5),0)</f>
        <v>0</v>
      </c>
      <c r="BV5" s="10">
        <f>$F5-BU5</f>
        <v>0</v>
      </c>
      <c r="BX5" s="11">
        <f>Podsumowanie!E2</f>
        <v>400000</v>
      </c>
      <c r="BY5" s="10">
        <f aca="true" t="shared" si="9" ref="BY5:BY68">IF(AB5=1,-BQ5*BX5/12,0)</f>
        <v>0</v>
      </c>
      <c r="BZ5" s="10">
        <f aca="true" t="shared" si="10" ref="BZ5:BZ68">IF(AB5=1,-BX5/(P5-K5+1),0)</f>
        <v>0</v>
      </c>
      <c r="CA5" s="10">
        <f>BZ5+BY5</f>
        <v>0</v>
      </c>
      <c r="CB5" s="10">
        <f>$F5-CA5</f>
        <v>0</v>
      </c>
      <c r="CD5" s="10">
        <f>Podsumowanie!E2</f>
        <v>400000</v>
      </c>
      <c r="CE5" s="10">
        <f>IF(AB5=1,BQ5*BX5/12,0)</f>
        <v>0</v>
      </c>
      <c r="CF5" s="10">
        <f>-F5</f>
        <v>0</v>
      </c>
      <c r="CG5" s="10">
        <f>CF5-CE5</f>
        <v>0</v>
      </c>
      <c r="CI5" s="44">
        <v>0.9778</v>
      </c>
      <c r="CJ5" s="10">
        <f>ROUND(CI5*(F5-S5),2)</f>
        <v>0</v>
      </c>
      <c r="CK5" s="4">
        <f>ROUND(R5*CI5,2)</f>
        <v>0</v>
      </c>
      <c r="CL5" s="4" t="s">
        <v>113</v>
      </c>
      <c r="CM5" s="10">
        <f>F5+S5</f>
        <v>0</v>
      </c>
      <c r="CN5" s="4">
        <f>CM5*BE5/12</f>
        <v>0</v>
      </c>
    </row>
    <row r="6" spans="1:92" ht="15.75">
      <c r="A6" s="36"/>
      <c r="B6" s="110">
        <v>37288</v>
      </c>
      <c r="C6" s="77">
        <f t="shared" si="1"/>
        <v>2.4643</v>
      </c>
      <c r="D6" s="78">
        <f>C6*(1+Podsumowanie!E$11)</f>
        <v>2.5382290000000003</v>
      </c>
      <c r="E6" s="34">
        <f aca="true" t="shared" si="11" ref="E6:E42">Z6</f>
        <v>0</v>
      </c>
      <c r="F6" s="7">
        <f aca="true" t="shared" si="12" ref="F6:F42">E6*D6</f>
        <v>0</v>
      </c>
      <c r="G6" s="7">
        <f aca="true" t="shared" si="13" ref="G6:G42">U6</f>
        <v>0</v>
      </c>
      <c r="H6" s="7">
        <f aca="true" t="shared" si="14" ref="H6:H42">G6-F6</f>
        <v>0</v>
      </c>
      <c r="I6" s="32"/>
      <c r="J6" s="4" t="str">
        <f aca="true" t="shared" si="15" ref="J6:J42">IF(H6&lt;0,"Ze względu na spadek kursu CHF, rata jest korzystniejsza niż bez klauzuli indeksacyjnej"," ")</f>
        <v xml:space="preserve"> </v>
      </c>
      <c r="K6" s="4">
        <f>IF(B6&lt;Podsumowanie!E$7,0,K5+1)</f>
        <v>0</v>
      </c>
      <c r="L6" s="100">
        <f t="shared" si="2"/>
        <v>0.016767</v>
      </c>
      <c r="M6" s="38">
        <f>L6+Podsumowanie!E$6</f>
        <v>0.028767</v>
      </c>
      <c r="N6" s="101">
        <f>MAX(Podsumowanie!E$4+SUM(AA$5:AA5)-SUM(X$5:X6)+SUM(W$5:W6),0)</f>
        <v>181357.6981355522</v>
      </c>
      <c r="O6" s="102">
        <f>MAX(Podsumowanie!E$2+SUM(V$5:V5)-SUM(S$5:S6)+SUM(R$5:R6),0)</f>
        <v>400000</v>
      </c>
      <c r="P6" s="39">
        <f aca="true" t="shared" si="16" ref="P6:P42">P5</f>
        <v>360</v>
      </c>
      <c r="Q6" s="40" t="str">
        <f>IF(AND(K6&gt;0,K6&lt;=Podsumowanie!E$9),"tak","nie")</f>
        <v>nie</v>
      </c>
      <c r="R6" s="41"/>
      <c r="S6" s="42"/>
      <c r="T6" s="88">
        <f aca="true" t="shared" si="17" ref="T6:T42">IF(AB6=1,-O6*M6/12,0)</f>
        <v>0</v>
      </c>
      <c r="U6" s="89">
        <f>IF(Q6="tak",T6,IF(P6-SUM(AB$5:AB6)+1&gt;0,IF(Podsumowanie!E$7&lt;B6,IF(SUM(AB$5:AB6)-Podsumowanie!E$9+1&gt;0,PMT(M6/12,P6+1-SUM(AB$5:AB6),O6),T6),0),0))</f>
        <v>0</v>
      </c>
      <c r="V6" s="89">
        <f aca="true" t="shared" si="18" ref="V6:V42">U6-T6</f>
        <v>0</v>
      </c>
      <c r="W6" s="90" t="str">
        <f>IF(R6&gt;0,R6/(C6*(1-Podsumowanie!E$11))," ")</f>
        <v xml:space="preserve"> </v>
      </c>
      <c r="X6" s="90">
        <f aca="true" t="shared" si="19" ref="X6:X69">IF(S6&gt;0,S6/D6,0)</f>
        <v>0</v>
      </c>
      <c r="Y6" s="91">
        <f aca="true" t="shared" si="20" ref="Y6:Y42">IF(AB6=1,-N6*M6/12,0)</f>
        <v>0</v>
      </c>
      <c r="Z6" s="90">
        <f>IF(P6-SUM(AB$5:AB6)+1&gt;0,IF(Podsumowanie!E$7&lt;B6,IF(SUM(AB$5:AB6)-Podsumowanie!E$9+1&gt;0,PMT(M6/12,P6+1-SUM(AB$5:AB6),N6),Y6),0),0)</f>
        <v>0</v>
      </c>
      <c r="AA6" s="90">
        <f aca="true" t="shared" si="21" ref="AA6:AA42">Z6-Y6</f>
        <v>0</v>
      </c>
      <c r="AB6" s="8" t="str">
        <f>IF(AND(Podsumowanie!E$7&lt;B6,SUM(AB$5:AB5)&lt;P5),1," ")</f>
        <v xml:space="preserve"> </v>
      </c>
      <c r="AD6" s="51">
        <f>IF(OR(B6&lt;Podsumowanie!E$12,Podsumowanie!E$12=""),-F6+S6,0)</f>
        <v>0</v>
      </c>
      <c r="AE6" s="51">
        <f aca="true" t="shared" si="22" ref="AE6:AE69">IF(AD6=0,-E6+X6,0)</f>
        <v>0</v>
      </c>
      <c r="AG6" s="10">
        <f>Podsumowanie!E$4-SUM(AI$5:AI5)+SUM(W6:W$42)-SUM(X6:X$42)</f>
        <v>181357.6981355522</v>
      </c>
      <c r="AH6" s="10">
        <f aca="true" t="shared" si="23" ref="AH6:AH42">IF(AB6=1,ROUND(AG6*M6/12,2),0)</f>
        <v>0</v>
      </c>
      <c r="AI6" s="10">
        <f aca="true" t="shared" si="24" ref="AI6:AI42">IF(Q6="tak",0,IF(AB6=1,ROUND(AG6/(P6-K6+1),2),0))</f>
        <v>0</v>
      </c>
      <c r="AJ6" s="10">
        <f aca="true" t="shared" si="25" ref="AJ6:AJ42">AI6+AH6</f>
        <v>0</v>
      </c>
      <c r="AK6" s="10">
        <f aca="true" t="shared" si="26" ref="AK6:AK42">ROUND(AJ6*D6,2)</f>
        <v>0</v>
      </c>
      <c r="AL6" s="10">
        <f>Podsumowanie!E$2-SUM(AN$5:AN5)+SUM(R6:R$42)-SUM(S6:S$42)</f>
        <v>400000</v>
      </c>
      <c r="AM6" s="10">
        <f aca="true" t="shared" si="27" ref="AM6:AM42">IF(AB6=1,ROUND(AL6*M6/12,2),0)</f>
        <v>0</v>
      </c>
      <c r="AN6" s="10">
        <f aca="true" t="shared" si="28" ref="AN6:AN42">IF(Q6="tak",0,IF(AB6=1,ROUND(AL6/(P6-K6+1),2),0))</f>
        <v>0</v>
      </c>
      <c r="AO6" s="10">
        <f aca="true" t="shared" si="29" ref="AO6:AO42">AN6+AM6</f>
        <v>0</v>
      </c>
      <c r="AP6" s="10">
        <f aca="true" t="shared" si="30" ref="AP6:AP42">AK6-AO6</f>
        <v>0</v>
      </c>
      <c r="AR6" s="43">
        <f aca="true" t="shared" si="31" ref="AR6:AR42">B6</f>
        <v>37288</v>
      </c>
      <c r="AS6" s="11">
        <f>AS$5+SUM(AV$5:AV5)-SUM(X$5:X6)+SUM(W$5:W6)</f>
        <v>175916.96719148563</v>
      </c>
      <c r="AT6" s="10">
        <f aca="true" t="shared" si="32" ref="AT6:AT42">IF(AB6=1,-AS6*M6/12,0)</f>
        <v>0</v>
      </c>
      <c r="AU6" s="10">
        <f>IF(AB6=1,IF(Q6="tak",AT6,PMT(M6/12,P6+1-SUM(AB$5:AB6),AS6)),0)</f>
        <v>0</v>
      </c>
      <c r="AV6" s="10">
        <f aca="true" t="shared" si="33" ref="AV6:AV42">AU6-AT6</f>
        <v>0</v>
      </c>
      <c r="AW6" s="10">
        <f aca="true" t="shared" si="34" ref="AW6:AW42">AU6*C6</f>
        <v>0</v>
      </c>
      <c r="AY6" s="11">
        <f>AY$5+SUM(BA$5:BA5)+SUM(W$5:W5)-SUM(X$5:X5)</f>
        <v>175916.96719148563</v>
      </c>
      <c r="AZ6" s="11">
        <f aca="true" t="shared" si="35" ref="AZ6:AZ42">IF(AB6=1,-AS6*M6/12,0)</f>
        <v>0</v>
      </c>
      <c r="BA6" s="11">
        <f aca="true" t="shared" si="36" ref="BA6:BA42">IF(AB6=1,IF(Q6="tak",0,ROUND(-AY6/(P6-K6+1),2)),0)</f>
        <v>0</v>
      </c>
      <c r="BB6" s="11">
        <f aca="true" t="shared" si="37" ref="BB6:BB42">BA6+AZ6</f>
        <v>0</v>
      </c>
      <c r="BC6" s="11">
        <f aca="true" t="shared" si="38" ref="BC6:BC42">BB6*C6</f>
        <v>0</v>
      </c>
      <c r="BE6" s="172">
        <f t="shared" si="4"/>
        <v>0.1081</v>
      </c>
      <c r="BF6" s="44">
        <f>BE6+Podsumowanie!$E$6</f>
        <v>0.1201</v>
      </c>
      <c r="BG6" s="11">
        <f>BG$5+SUM(BH$5:BH5)+SUM(R$5:R5)-SUM(S$5:S5)</f>
        <v>400000</v>
      </c>
      <c r="BH6" s="10">
        <f aca="true" t="shared" si="39" ref="BH6:BH42">IF(BJ6&lt;0,BJ6-BI6,0)</f>
        <v>0</v>
      </c>
      <c r="BI6" s="10">
        <f aca="true" t="shared" si="40" ref="BI6:BI42">IF(BJ6&lt;0,-BG6*BF6/12,0)</f>
        <v>0</v>
      </c>
      <c r="BJ6" s="10">
        <f>IF(U6&lt;0,PMT(BF6/12,Podsumowanie!E$8-SUM(AB$5:AB6)+1,BG6),0)</f>
        <v>0</v>
      </c>
      <c r="BL6" s="11">
        <f>BL$5+SUM(BN$5:BN5)+SUM(R$5:R5)-SUM(S$5:S5)</f>
        <v>400000</v>
      </c>
      <c r="BM6" s="11">
        <f t="shared" si="5"/>
        <v>0</v>
      </c>
      <c r="BN6" s="11">
        <f t="shared" si="6"/>
        <v>0</v>
      </c>
      <c r="BO6" s="11">
        <f t="shared" si="7"/>
        <v>0</v>
      </c>
      <c r="BQ6" s="44">
        <f t="shared" si="8"/>
        <v>0.1202</v>
      </c>
      <c r="BR6" s="11">
        <f>BR$5+SUM(BS$5:BS5)+SUM(R$5:R5)-SUM(S$5:S5)+SUM(BV$5:BV5)</f>
        <v>400000</v>
      </c>
      <c r="BS6" s="10">
        <f>IF(BU6&lt;0,BU6-BT6,0)</f>
        <v>0</v>
      </c>
      <c r="BT6" s="10">
        <f>IF(BU6&lt;0,-BR6*BQ6/12,0)</f>
        <v>0</v>
      </c>
      <c r="BU6" s="10">
        <f>IF(U6&lt;0,PMT(BQ6/12,Podsumowanie!E$8-SUM(AB$5:AB6)+1,BR6),0)</f>
        <v>0</v>
      </c>
      <c r="BV6" s="10">
        <f aca="true" t="shared" si="41" ref="BV6:BV69">F6-BU6</f>
        <v>0</v>
      </c>
      <c r="BX6" s="11">
        <f>BX$5+SUM(BZ$5:BZ5)+SUM(R$5:R5)-SUM(S$5:S5)+SUM(CB$5,CB5)</f>
        <v>400000</v>
      </c>
      <c r="BY6" s="10">
        <f t="shared" si="9"/>
        <v>0</v>
      </c>
      <c r="BZ6" s="10">
        <f t="shared" si="10"/>
        <v>0</v>
      </c>
      <c r="CA6" s="10">
        <f>BZ6+BY6</f>
        <v>0</v>
      </c>
      <c r="CB6" s="10">
        <f>$F6-CA6</f>
        <v>0</v>
      </c>
      <c r="CD6" s="10">
        <f>CD$5+SUM(CE$5:CE5)+SUM(R$5:R5)-SUM(S$5:S5)-SUM(CF$5:CF5)</f>
        <v>400000</v>
      </c>
      <c r="CE6" s="10">
        <f aca="true" t="shared" si="42" ref="CE6:CE69">IF(AB6=1,BQ6*BX6/12,0)</f>
        <v>0</v>
      </c>
      <c r="CF6" s="10">
        <f aca="true" t="shared" si="43" ref="CF6:CF69">-F6</f>
        <v>0</v>
      </c>
      <c r="CG6" s="10">
        <f aca="true" t="shared" si="44" ref="CG6:CG69">CF6-CE6</f>
        <v>0</v>
      </c>
      <c r="CI6" s="44">
        <v>0.9621</v>
      </c>
      <c r="CJ6" s="10">
        <f aca="true" t="shared" si="45" ref="CJ6:CJ69">ROUND(CI6*(F6-S6),2)</f>
        <v>0</v>
      </c>
      <c r="CK6" s="4">
        <f>ROUND(R6*CI6,2)</f>
        <v>0</v>
      </c>
      <c r="CM6" s="10">
        <f>F6+S6+CM5</f>
        <v>0</v>
      </c>
      <c r="CN6" s="4">
        <f>CM6*BE6/12</f>
        <v>0</v>
      </c>
    </row>
    <row r="7" spans="1:92" ht="15.75">
      <c r="A7" s="36"/>
      <c r="B7" s="110">
        <v>37316</v>
      </c>
      <c r="C7" s="77">
        <f t="shared" si="1"/>
        <v>2.4726</v>
      </c>
      <c r="D7" s="78">
        <f>C7*(1+Podsumowanie!E$11)</f>
        <v>2.5467779999999998</v>
      </c>
      <c r="E7" s="34">
        <f t="shared" si="11"/>
        <v>0</v>
      </c>
      <c r="F7" s="7">
        <f t="shared" si="12"/>
        <v>0</v>
      </c>
      <c r="G7" s="7">
        <f t="shared" si="13"/>
        <v>0</v>
      </c>
      <c r="H7" s="7">
        <f t="shared" si="14"/>
        <v>0</v>
      </c>
      <c r="I7" s="32"/>
      <c r="J7" s="4" t="str">
        <f t="shared" si="15"/>
        <v xml:space="preserve"> </v>
      </c>
      <c r="K7" s="4">
        <f>IF(B7&lt;Podsumowanie!E$7,0,K6+1)</f>
        <v>0</v>
      </c>
      <c r="L7" s="100">
        <f t="shared" si="2"/>
        <v>0.017467</v>
      </c>
      <c r="M7" s="38">
        <f>L7+Podsumowanie!E$6</f>
        <v>0.029467</v>
      </c>
      <c r="N7" s="101">
        <f>MAX(Podsumowanie!E$4+SUM(AA$5:AA6)-SUM(X$5:X7)+SUM(W$5:W7),0)</f>
        <v>181357.6981355522</v>
      </c>
      <c r="O7" s="102">
        <f>MAX(Podsumowanie!E$2+SUM(V$5:V6)-SUM(S$5:S7)+SUM(R$5:R7),0)</f>
        <v>400000</v>
      </c>
      <c r="P7" s="39">
        <f t="shared" si="16"/>
        <v>360</v>
      </c>
      <c r="Q7" s="40" t="str">
        <f>IF(AND(K7&gt;0,K7&lt;=Podsumowanie!E$9),"tak","nie")</f>
        <v>nie</v>
      </c>
      <c r="R7" s="41"/>
      <c r="S7" s="42"/>
      <c r="T7" s="88">
        <f t="shared" si="17"/>
        <v>0</v>
      </c>
      <c r="U7" s="89">
        <f>IF(Q7="tak",T7,IF(P7-SUM(AB$5:AB7)+1&gt;0,IF(Podsumowanie!E$7&lt;B7,IF(SUM(AB$5:AB7)-Podsumowanie!E$9+1&gt;0,PMT(M7/12,P7+1-SUM(AB$5:AB7),O7),T7),0),0))</f>
        <v>0</v>
      </c>
      <c r="V7" s="89">
        <f t="shared" si="18"/>
        <v>0</v>
      </c>
      <c r="W7" s="90" t="str">
        <f>IF(R7&gt;0,R7/(C7*(1-Podsumowanie!E$11))," ")</f>
        <v xml:space="preserve"> </v>
      </c>
      <c r="X7" s="90">
        <f t="shared" si="19"/>
        <v>0</v>
      </c>
      <c r="Y7" s="91">
        <f t="shared" si="20"/>
        <v>0</v>
      </c>
      <c r="Z7" s="90">
        <f>IF(P7-SUM(AB$5:AB7)+1&gt;0,IF(Podsumowanie!E$7&lt;B7,IF(SUM(AB$5:AB7)-Podsumowanie!E$9+1&gt;0,PMT(M7/12,P7+1-SUM(AB$5:AB7),N7),Y7),0),0)</f>
        <v>0</v>
      </c>
      <c r="AA7" s="90">
        <f t="shared" si="21"/>
        <v>0</v>
      </c>
      <c r="AB7" s="8" t="str">
        <f>IF(AND(Podsumowanie!E$7&lt;B7,SUM(AB$5:AB6)&lt;P6),1," ")</f>
        <v xml:space="preserve"> </v>
      </c>
      <c r="AD7" s="51">
        <f>IF(OR(B7&lt;Podsumowanie!E$12,Podsumowanie!E$12=""),-F7+S7,0)</f>
        <v>0</v>
      </c>
      <c r="AE7" s="51">
        <f t="shared" si="22"/>
        <v>0</v>
      </c>
      <c r="AG7" s="10">
        <f>Podsumowanie!E$4-SUM(AI$5:AI6)+SUM(W7:W$42)-SUM(X7:X$42)</f>
        <v>181357.6981355522</v>
      </c>
      <c r="AH7" s="10">
        <f t="shared" si="23"/>
        <v>0</v>
      </c>
      <c r="AI7" s="10">
        <f t="shared" si="24"/>
        <v>0</v>
      </c>
      <c r="AJ7" s="10">
        <f t="shared" si="25"/>
        <v>0</v>
      </c>
      <c r="AK7" s="10">
        <f t="shared" si="26"/>
        <v>0</v>
      </c>
      <c r="AL7" s="10">
        <f>Podsumowanie!E$2-SUM(AN$5:AN6)+SUM(R7:R$42)-SUM(S7:S$42)</f>
        <v>400000</v>
      </c>
      <c r="AM7" s="10">
        <f t="shared" si="27"/>
        <v>0</v>
      </c>
      <c r="AN7" s="10">
        <f t="shared" si="28"/>
        <v>0</v>
      </c>
      <c r="AO7" s="10">
        <f t="shared" si="29"/>
        <v>0</v>
      </c>
      <c r="AP7" s="10">
        <f t="shared" si="30"/>
        <v>0</v>
      </c>
      <c r="AR7" s="43">
        <f t="shared" si="31"/>
        <v>37316</v>
      </c>
      <c r="AS7" s="11">
        <f>AS$5+SUM(AV$5:AV6)-SUM(X$5:X7)+SUM(W$5:W7)</f>
        <v>175916.96719148563</v>
      </c>
      <c r="AT7" s="10">
        <f t="shared" si="32"/>
        <v>0</v>
      </c>
      <c r="AU7" s="10">
        <f>IF(AB7=1,IF(Q7="tak",AT7,PMT(M7/12,P7+1-SUM(AB$5:AB7),AS7)),0)</f>
        <v>0</v>
      </c>
      <c r="AV7" s="10">
        <f t="shared" si="33"/>
        <v>0</v>
      </c>
      <c r="AW7" s="10">
        <f t="shared" si="34"/>
        <v>0</v>
      </c>
      <c r="AY7" s="11">
        <f>AY$5+SUM(BA$5:BA6)+SUM(W$5:W6)-SUM(X$5:X6)</f>
        <v>175916.96719148563</v>
      </c>
      <c r="AZ7" s="11">
        <f t="shared" si="35"/>
        <v>0</v>
      </c>
      <c r="BA7" s="11">
        <f t="shared" si="36"/>
        <v>0</v>
      </c>
      <c r="BB7" s="11">
        <f t="shared" si="37"/>
        <v>0</v>
      </c>
      <c r="BC7" s="11">
        <f t="shared" si="38"/>
        <v>0</v>
      </c>
      <c r="BE7" s="172">
        <f t="shared" si="4"/>
        <v>0.1019</v>
      </c>
      <c r="BF7" s="44">
        <f>BE7+Podsumowanie!$E$6</f>
        <v>0.1139</v>
      </c>
      <c r="BG7" s="11">
        <f>BG$5+SUM(BH$5:BH6)+SUM(R$5:R6)-SUM(S$5:S6)</f>
        <v>400000</v>
      </c>
      <c r="BH7" s="10">
        <f t="shared" si="39"/>
        <v>0</v>
      </c>
      <c r="BI7" s="10">
        <f t="shared" si="40"/>
        <v>0</v>
      </c>
      <c r="BJ7" s="10">
        <f>IF(U7&lt;0,PMT(BF7/12,Podsumowanie!E$8-SUM(AB$5:AB7)+1,BG7),0)</f>
        <v>0</v>
      </c>
      <c r="BL7" s="11">
        <f>BL$5+SUM(BN$5:BN6)+SUM(R$5:R6)-SUM(S$5:S6)</f>
        <v>400000</v>
      </c>
      <c r="BM7" s="11">
        <f t="shared" si="5"/>
        <v>0</v>
      </c>
      <c r="BN7" s="11">
        <f t="shared" si="6"/>
        <v>0</v>
      </c>
      <c r="BO7" s="11">
        <f t="shared" si="7"/>
        <v>0</v>
      </c>
      <c r="BQ7" s="44">
        <f t="shared" si="8"/>
        <v>0.114</v>
      </c>
      <c r="BR7" s="11">
        <f>BR$5+SUM(BS$5:BS6)+SUM(R$5:R6)-SUM(S$5:S6)+SUM(BV$5:BV6)</f>
        <v>400000</v>
      </c>
      <c r="BS7" s="10">
        <f aca="true" t="shared" si="46" ref="BS7:BS70">IF(BU7&lt;0,BU7-BT7,0)</f>
        <v>0</v>
      </c>
      <c r="BT7" s="10">
        <f aca="true" t="shared" si="47" ref="BT7:BT70">IF(BU7&lt;0,-BR7*BQ7/12,0)</f>
        <v>0</v>
      </c>
      <c r="BU7" s="10">
        <f>IF(U7&lt;0,PMT(BQ7/12,Podsumowanie!E$8-SUM(AB$5:AB7)+1,BR7),0)</f>
        <v>0</v>
      </c>
      <c r="BV7" s="10">
        <f t="shared" si="41"/>
        <v>0</v>
      </c>
      <c r="BX7" s="11">
        <f>BX$5+SUM(BZ$5:BZ6)+SUM(R$5:R6)-SUM(S$5:S6)+SUM(CB$5,CB6)</f>
        <v>400000</v>
      </c>
      <c r="BY7" s="10">
        <f t="shared" si="9"/>
        <v>0</v>
      </c>
      <c r="BZ7" s="10">
        <f t="shared" si="10"/>
        <v>0</v>
      </c>
      <c r="CA7" s="10">
        <f aca="true" t="shared" si="48" ref="CA7:CA70">BZ7+BY7</f>
        <v>0</v>
      </c>
      <c r="CB7" s="10">
        <f aca="true" t="shared" si="49" ref="CB7:CB70">$F7-CA7</f>
        <v>0</v>
      </c>
      <c r="CD7" s="10">
        <f>CD$5+SUM(CE$5:CE6)+SUM(R$5:R6)-SUM(S$5:S6)-SUM(CF$5:CF6)</f>
        <v>400000</v>
      </c>
      <c r="CE7" s="10">
        <f t="shared" si="42"/>
        <v>0</v>
      </c>
      <c r="CF7" s="10">
        <f t="shared" si="43"/>
        <v>0</v>
      </c>
      <c r="CG7" s="10">
        <f t="shared" si="44"/>
        <v>0</v>
      </c>
      <c r="CI7" s="44">
        <v>0.9601</v>
      </c>
      <c r="CJ7" s="10">
        <f t="shared" si="45"/>
        <v>0</v>
      </c>
      <c r="CK7" s="4">
        <f aca="true" t="shared" si="50" ref="CK7:CK70">ROUND(R7*CI7,2)</f>
        <v>0</v>
      </c>
      <c r="CM7" s="10">
        <f aca="true" t="shared" si="51" ref="CM7:CM70">F7+S7+CM6</f>
        <v>0</v>
      </c>
      <c r="CN7" s="4">
        <f aca="true" t="shared" si="52" ref="CN7:CN70">CM7*BE7/12</f>
        <v>0</v>
      </c>
    </row>
    <row r="8" spans="1:92" ht="15.75">
      <c r="A8" s="36"/>
      <c r="B8" s="110">
        <v>37347</v>
      </c>
      <c r="C8" s="77">
        <f t="shared" si="1"/>
        <v>2.4517</v>
      </c>
      <c r="D8" s="78">
        <f>C8*(1+Podsumowanie!E$11)</f>
        <v>2.5252510000000004</v>
      </c>
      <c r="E8" s="34">
        <f t="shared" si="11"/>
        <v>0</v>
      </c>
      <c r="F8" s="7">
        <f t="shared" si="12"/>
        <v>0</v>
      </c>
      <c r="G8" s="7">
        <f t="shared" si="13"/>
        <v>0</v>
      </c>
      <c r="H8" s="7">
        <f t="shared" si="14"/>
        <v>0</v>
      </c>
      <c r="I8" s="32"/>
      <c r="J8" s="4" t="str">
        <f t="shared" si="15"/>
        <v xml:space="preserve"> </v>
      </c>
      <c r="K8" s="4">
        <f>IF(B8&lt;Podsumowanie!E$7,0,K7+1)</f>
        <v>0</v>
      </c>
      <c r="L8" s="100">
        <f t="shared" si="2"/>
        <v>0.016283</v>
      </c>
      <c r="M8" s="38">
        <f>L8+Podsumowanie!E$6</f>
        <v>0.028283</v>
      </c>
      <c r="N8" s="101">
        <f>MAX(Podsumowanie!E$4+SUM(AA$5:AA7)-SUM(X$5:X8)+SUM(W$5:W8),0)</f>
        <v>181357.6981355522</v>
      </c>
      <c r="O8" s="102">
        <f>MAX(Podsumowanie!E$2+SUM(V$5:V7)-SUM(S$5:S8)+SUM(R$5:R8),0)</f>
        <v>400000</v>
      </c>
      <c r="P8" s="39">
        <f t="shared" si="16"/>
        <v>360</v>
      </c>
      <c r="Q8" s="40" t="str">
        <f>IF(AND(K8&gt;0,K8&lt;=Podsumowanie!E$9),"tak","nie")</f>
        <v>nie</v>
      </c>
      <c r="R8" s="41"/>
      <c r="S8" s="42"/>
      <c r="T8" s="88">
        <f t="shared" si="17"/>
        <v>0</v>
      </c>
      <c r="U8" s="89">
        <f>IF(Q8="tak",T8,IF(P8-SUM(AB$5:AB8)+1&gt;0,IF(Podsumowanie!E$7&lt;B8,IF(SUM(AB$5:AB8)-Podsumowanie!E$9+1&gt;0,PMT(M8/12,P8+1-SUM(AB$5:AB8),O8),T8),0),0))</f>
        <v>0</v>
      </c>
      <c r="V8" s="89">
        <f t="shared" si="18"/>
        <v>0</v>
      </c>
      <c r="W8" s="90" t="str">
        <f>IF(R8&gt;0,R8/(C8*(1-Podsumowanie!E$11))," ")</f>
        <v xml:space="preserve"> </v>
      </c>
      <c r="X8" s="90">
        <f t="shared" si="19"/>
        <v>0</v>
      </c>
      <c r="Y8" s="91">
        <f t="shared" si="20"/>
        <v>0</v>
      </c>
      <c r="Z8" s="90">
        <f>IF(P8-SUM(AB$5:AB8)+1&gt;0,IF(Podsumowanie!E$7&lt;B8,IF(SUM(AB$5:AB8)-Podsumowanie!E$9+1&gt;0,PMT(M8/12,P8+1-SUM(AB$5:AB8),N8),Y8),0),0)</f>
        <v>0</v>
      </c>
      <c r="AA8" s="90">
        <f t="shared" si="21"/>
        <v>0</v>
      </c>
      <c r="AB8" s="8" t="str">
        <f>IF(AND(Podsumowanie!E$7&lt;B8,SUM(AB$5:AB7)&lt;P7),1," ")</f>
        <v xml:space="preserve"> </v>
      </c>
      <c r="AD8" s="51">
        <f>IF(OR(B8&lt;Podsumowanie!E$12,Podsumowanie!E$12=""),-F8+S8,0)</f>
        <v>0</v>
      </c>
      <c r="AE8" s="51">
        <f t="shared" si="22"/>
        <v>0</v>
      </c>
      <c r="AG8" s="10">
        <f>Podsumowanie!E$4-SUM(AI$5:AI7)+SUM(W8:W$42)-SUM(X8:X$42)</f>
        <v>181357.6981355522</v>
      </c>
      <c r="AH8" s="10">
        <f t="shared" si="23"/>
        <v>0</v>
      </c>
      <c r="AI8" s="10">
        <f t="shared" si="24"/>
        <v>0</v>
      </c>
      <c r="AJ8" s="10">
        <f t="shared" si="25"/>
        <v>0</v>
      </c>
      <c r="AK8" s="10">
        <f t="shared" si="26"/>
        <v>0</v>
      </c>
      <c r="AL8" s="10">
        <f>Podsumowanie!E$2-SUM(AN$5:AN7)+SUM(R8:R$42)-SUM(S8:S$42)</f>
        <v>400000</v>
      </c>
      <c r="AM8" s="10">
        <f t="shared" si="27"/>
        <v>0</v>
      </c>
      <c r="AN8" s="10">
        <f t="shared" si="28"/>
        <v>0</v>
      </c>
      <c r="AO8" s="10">
        <f t="shared" si="29"/>
        <v>0</v>
      </c>
      <c r="AP8" s="10">
        <f t="shared" si="30"/>
        <v>0</v>
      </c>
      <c r="AR8" s="43">
        <f t="shared" si="31"/>
        <v>37347</v>
      </c>
      <c r="AS8" s="11">
        <f>AS$5+SUM(AV$5:AV7)-SUM(X$5:X8)+SUM(W$5:W8)</f>
        <v>175916.96719148563</v>
      </c>
      <c r="AT8" s="10">
        <f t="shared" si="32"/>
        <v>0</v>
      </c>
      <c r="AU8" s="10">
        <f>IF(AB8=1,IF(Q8="tak",AT8,PMT(M8/12,P8+1-SUM(AB$5:AB8),AS8)),0)</f>
        <v>0</v>
      </c>
      <c r="AV8" s="10">
        <f t="shared" si="33"/>
        <v>0</v>
      </c>
      <c r="AW8" s="10">
        <f t="shared" si="34"/>
        <v>0</v>
      </c>
      <c r="AY8" s="11">
        <f>AY$5+SUM(BA$5:BA7)+SUM(W$5:W7)-SUM(X$5:X7)</f>
        <v>175916.96719148563</v>
      </c>
      <c r="AZ8" s="11">
        <f t="shared" si="35"/>
        <v>0</v>
      </c>
      <c r="BA8" s="11">
        <f t="shared" si="36"/>
        <v>0</v>
      </c>
      <c r="BB8" s="11">
        <f t="shared" si="37"/>
        <v>0</v>
      </c>
      <c r="BC8" s="11">
        <f t="shared" si="38"/>
        <v>0</v>
      </c>
      <c r="BE8" s="172">
        <f t="shared" si="4"/>
        <v>0.1034</v>
      </c>
      <c r="BF8" s="44">
        <f>BE8+Podsumowanie!$E$6</f>
        <v>0.1154</v>
      </c>
      <c r="BG8" s="11">
        <f>BG$5+SUM(BH$5:BH7)+SUM(R$5:R7)-SUM(S$5:S7)</f>
        <v>400000</v>
      </c>
      <c r="BH8" s="10">
        <f t="shared" si="39"/>
        <v>0</v>
      </c>
      <c r="BI8" s="10">
        <f t="shared" si="40"/>
        <v>0</v>
      </c>
      <c r="BJ8" s="10">
        <f>IF(U8&lt;0,PMT(BF8/12,Podsumowanie!E$8-SUM(AB$5:AB8)+1,BG8),0)</f>
        <v>0</v>
      </c>
      <c r="BL8" s="11">
        <f>BL$5+SUM(BN$5:BN7)+SUM(R$5:R7)-SUM(S$5:S7)</f>
        <v>400000</v>
      </c>
      <c r="BM8" s="11">
        <f t="shared" si="5"/>
        <v>0</v>
      </c>
      <c r="BN8" s="11">
        <f t="shared" si="6"/>
        <v>0</v>
      </c>
      <c r="BO8" s="11">
        <f t="shared" si="7"/>
        <v>0</v>
      </c>
      <c r="BQ8" s="44">
        <f t="shared" si="8"/>
        <v>0.1155</v>
      </c>
      <c r="BR8" s="11">
        <f>BR$5+SUM(BS$5:BS7)+SUM(R$5:R7)-SUM(S$5:S7)+SUM(BV$5:BV7)</f>
        <v>400000</v>
      </c>
      <c r="BS8" s="10">
        <f t="shared" si="46"/>
        <v>0</v>
      </c>
      <c r="BT8" s="10">
        <f t="shared" si="47"/>
        <v>0</v>
      </c>
      <c r="BU8" s="10">
        <f>IF(U8&lt;0,PMT(BQ8/12,Podsumowanie!E$8-SUM(AB$5:AB8)+1,BR8),0)</f>
        <v>0</v>
      </c>
      <c r="BV8" s="10">
        <f t="shared" si="41"/>
        <v>0</v>
      </c>
      <c r="BX8" s="11">
        <f>BX$5+SUM(BZ$5:BZ7)+SUM(R$5:R7)-SUM(S$5:S7)+SUM(CB$5,CB7)</f>
        <v>400000</v>
      </c>
      <c r="BY8" s="10">
        <f t="shared" si="9"/>
        <v>0</v>
      </c>
      <c r="BZ8" s="10">
        <f t="shared" si="10"/>
        <v>0</v>
      </c>
      <c r="CA8" s="10">
        <f t="shared" si="48"/>
        <v>0</v>
      </c>
      <c r="CB8" s="10">
        <f t="shared" si="49"/>
        <v>0</v>
      </c>
      <c r="CD8" s="10">
        <f>CD$5+SUM(CE$5:CE7)+SUM(R$5:R7)-SUM(S$5:S7)-SUM(CF$5:CF7)</f>
        <v>400000</v>
      </c>
      <c r="CE8" s="10">
        <f t="shared" si="42"/>
        <v>0</v>
      </c>
      <c r="CF8" s="10">
        <f t="shared" si="43"/>
        <v>0</v>
      </c>
      <c r="CG8" s="10">
        <f t="shared" si="44"/>
        <v>0</v>
      </c>
      <c r="CI8" s="44">
        <v>0.9562</v>
      </c>
      <c r="CJ8" s="10">
        <f t="shared" si="45"/>
        <v>0</v>
      </c>
      <c r="CK8" s="4">
        <f t="shared" si="50"/>
        <v>0</v>
      </c>
      <c r="CM8" s="10">
        <f t="shared" si="51"/>
        <v>0</v>
      </c>
      <c r="CN8" s="4">
        <f t="shared" si="52"/>
        <v>0</v>
      </c>
    </row>
    <row r="9" spans="1:92" ht="15.75">
      <c r="A9" s="36"/>
      <c r="B9" s="110">
        <v>37377</v>
      </c>
      <c r="C9" s="77">
        <f t="shared" si="1"/>
        <v>2.5422</v>
      </c>
      <c r="D9" s="78">
        <f>C9*(1+Podsumowanie!E$11)</f>
        <v>2.6184659999999997</v>
      </c>
      <c r="E9" s="34">
        <f t="shared" si="11"/>
        <v>0</v>
      </c>
      <c r="F9" s="7">
        <f t="shared" si="12"/>
        <v>0</v>
      </c>
      <c r="G9" s="7">
        <f t="shared" si="13"/>
        <v>0</v>
      </c>
      <c r="H9" s="7">
        <f t="shared" si="14"/>
        <v>0</v>
      </c>
      <c r="I9" s="32"/>
      <c r="J9" s="4" t="str">
        <f t="shared" si="15"/>
        <v xml:space="preserve"> </v>
      </c>
      <c r="K9" s="4">
        <f>IF(B9&lt;Podsumowanie!E$7,0,K8+1)</f>
        <v>0</v>
      </c>
      <c r="L9" s="100">
        <f t="shared" si="2"/>
        <v>0.015</v>
      </c>
      <c r="M9" s="38">
        <f>L9+Podsumowanie!E$6</f>
        <v>0.027</v>
      </c>
      <c r="N9" s="101">
        <f>MAX(Podsumowanie!E$4+SUM(AA$5:AA8)-SUM(X$5:X9)+SUM(W$5:W9),0)</f>
        <v>181357.6981355522</v>
      </c>
      <c r="O9" s="102">
        <f>MAX(Podsumowanie!E$2+SUM(V$5:V8)-SUM(S$5:S9)+SUM(R$5:R9),0)</f>
        <v>400000</v>
      </c>
      <c r="P9" s="39">
        <f t="shared" si="16"/>
        <v>360</v>
      </c>
      <c r="Q9" s="40" t="str">
        <f>IF(AND(K9&gt;0,K9&lt;=Podsumowanie!E$9),"tak","nie")</f>
        <v>nie</v>
      </c>
      <c r="R9" s="41"/>
      <c r="S9" s="42"/>
      <c r="T9" s="88">
        <f t="shared" si="17"/>
        <v>0</v>
      </c>
      <c r="U9" s="89">
        <f>IF(Q9="tak",T9,IF(P9-SUM(AB$5:AB9)+1&gt;0,IF(Podsumowanie!E$7&lt;B9,IF(SUM(AB$5:AB9)-Podsumowanie!E$9+1&gt;0,PMT(M9/12,P9+1-SUM(AB$5:AB9),O9),T9),0),0))</f>
        <v>0</v>
      </c>
      <c r="V9" s="89">
        <f t="shared" si="18"/>
        <v>0</v>
      </c>
      <c r="W9" s="90" t="str">
        <f>IF(R9&gt;0,R9/(C9*(1-Podsumowanie!E$11))," ")</f>
        <v xml:space="preserve"> </v>
      </c>
      <c r="X9" s="90">
        <f t="shared" si="19"/>
        <v>0</v>
      </c>
      <c r="Y9" s="91">
        <f t="shared" si="20"/>
        <v>0</v>
      </c>
      <c r="Z9" s="90">
        <f>IF(P9-SUM(AB$5:AB9)+1&gt;0,IF(Podsumowanie!E$7&lt;B9,IF(SUM(AB$5:AB9)-Podsumowanie!E$9+1&gt;0,PMT(M9/12,P9+1-SUM(AB$5:AB9),N9),Y9),0),0)</f>
        <v>0</v>
      </c>
      <c r="AA9" s="90">
        <f t="shared" si="21"/>
        <v>0</v>
      </c>
      <c r="AB9" s="8" t="str">
        <f>IF(AND(Podsumowanie!E$7&lt;B9,SUM(AB$5:AB8)&lt;P8),1," ")</f>
        <v xml:space="preserve"> </v>
      </c>
      <c r="AD9" s="51">
        <f>IF(OR(B9&lt;Podsumowanie!E$12,Podsumowanie!E$12=""),-F9+S9,0)</f>
        <v>0</v>
      </c>
      <c r="AE9" s="51">
        <f t="shared" si="22"/>
        <v>0</v>
      </c>
      <c r="AG9" s="10">
        <f>Podsumowanie!E$4-SUM(AI$5:AI8)+SUM(W9:W$42)-SUM(X9:X$42)</f>
        <v>181357.6981355522</v>
      </c>
      <c r="AH9" s="10">
        <f t="shared" si="23"/>
        <v>0</v>
      </c>
      <c r="AI9" s="10">
        <f t="shared" si="24"/>
        <v>0</v>
      </c>
      <c r="AJ9" s="10">
        <f t="shared" si="25"/>
        <v>0</v>
      </c>
      <c r="AK9" s="10">
        <f t="shared" si="26"/>
        <v>0</v>
      </c>
      <c r="AL9" s="10">
        <f>Podsumowanie!E$2-SUM(AN$5:AN8)+SUM(R9:R$42)-SUM(S9:S$42)</f>
        <v>400000</v>
      </c>
      <c r="AM9" s="10">
        <f t="shared" si="27"/>
        <v>0</v>
      </c>
      <c r="AN9" s="10">
        <f t="shared" si="28"/>
        <v>0</v>
      </c>
      <c r="AO9" s="10">
        <f t="shared" si="29"/>
        <v>0</v>
      </c>
      <c r="AP9" s="10">
        <f t="shared" si="30"/>
        <v>0</v>
      </c>
      <c r="AR9" s="43">
        <f t="shared" si="31"/>
        <v>37377</v>
      </c>
      <c r="AS9" s="11">
        <f>AS$5+SUM(AV$5:AV8)-SUM(X$5:X9)+SUM(W$5:W9)</f>
        <v>175916.96719148563</v>
      </c>
      <c r="AT9" s="10">
        <f t="shared" si="32"/>
        <v>0</v>
      </c>
      <c r="AU9" s="10">
        <f>IF(AB9=1,IF(Q9="tak",AT9,PMT(M9/12,P9+1-SUM(AB$5:AB9),AS9)),0)</f>
        <v>0</v>
      </c>
      <c r="AV9" s="10">
        <f t="shared" si="33"/>
        <v>0</v>
      </c>
      <c r="AW9" s="10">
        <f t="shared" si="34"/>
        <v>0</v>
      </c>
      <c r="AY9" s="11">
        <f>AY$5+SUM(BA$5:BA8)+SUM(W$5:W8)-SUM(X$5:X8)</f>
        <v>175916.96719148563</v>
      </c>
      <c r="AZ9" s="11">
        <f t="shared" si="35"/>
        <v>0</v>
      </c>
      <c r="BA9" s="11">
        <f t="shared" si="36"/>
        <v>0</v>
      </c>
      <c r="BB9" s="11">
        <f t="shared" si="37"/>
        <v>0</v>
      </c>
      <c r="BC9" s="11">
        <f t="shared" si="38"/>
        <v>0</v>
      </c>
      <c r="BE9" s="172">
        <f t="shared" si="4"/>
        <v>0.101</v>
      </c>
      <c r="BF9" s="44">
        <f>BE9+Podsumowanie!$E$6</f>
        <v>0.113</v>
      </c>
      <c r="BG9" s="11">
        <f>BG$5+SUM(BH$5:BH8)+SUM(R$5:R8)-SUM(S$5:S8)</f>
        <v>400000</v>
      </c>
      <c r="BH9" s="10">
        <f t="shared" si="39"/>
        <v>0</v>
      </c>
      <c r="BI9" s="10">
        <f t="shared" si="40"/>
        <v>0</v>
      </c>
      <c r="BJ9" s="10">
        <f>IF(U9&lt;0,PMT(BF9/12,Podsumowanie!E$8-SUM(AB$5:AB9)+1,BG9),0)</f>
        <v>0</v>
      </c>
      <c r="BL9" s="11">
        <f>BL$5+SUM(BN$5:BN8)+SUM(R$5:R8)-SUM(S$5:S8)</f>
        <v>400000</v>
      </c>
      <c r="BM9" s="11">
        <f t="shared" si="5"/>
        <v>0</v>
      </c>
      <c r="BN9" s="11">
        <f t="shared" si="6"/>
        <v>0</v>
      </c>
      <c r="BO9" s="11">
        <f t="shared" si="7"/>
        <v>0</v>
      </c>
      <c r="BQ9" s="44">
        <f t="shared" si="8"/>
        <v>0.1131</v>
      </c>
      <c r="BR9" s="11">
        <f>BR$5+SUM(BS$5:BS8)+SUM(R$5:R8)-SUM(S$5:S8)+SUM(BV$5:BV8)</f>
        <v>400000</v>
      </c>
      <c r="BS9" s="10">
        <f t="shared" si="46"/>
        <v>0</v>
      </c>
      <c r="BT9" s="10">
        <f t="shared" si="47"/>
        <v>0</v>
      </c>
      <c r="BU9" s="10">
        <f>IF(U9&lt;0,PMT(BQ9/12,Podsumowanie!E$8-SUM(AB$5:AB9)+1,BR9),0)</f>
        <v>0</v>
      </c>
      <c r="BV9" s="10">
        <f t="shared" si="41"/>
        <v>0</v>
      </c>
      <c r="BX9" s="11">
        <f>BX$5+SUM(BZ$5:BZ8)+SUM(R$5:R8)-SUM(S$5:S8)+SUM(CB$5,CB8)</f>
        <v>400000</v>
      </c>
      <c r="BY9" s="10">
        <f t="shared" si="9"/>
        <v>0</v>
      </c>
      <c r="BZ9" s="10">
        <f t="shared" si="10"/>
        <v>0</v>
      </c>
      <c r="CA9" s="10">
        <f t="shared" si="48"/>
        <v>0</v>
      </c>
      <c r="CB9" s="10">
        <f t="shared" si="49"/>
        <v>0</v>
      </c>
      <c r="CD9" s="10">
        <f>CD$5+SUM(CE$5:CE8)+SUM(R$5:R8)-SUM(S$5:S8)-SUM(CF$5:CF8)</f>
        <v>400000</v>
      </c>
      <c r="CE9" s="10">
        <f t="shared" si="42"/>
        <v>0</v>
      </c>
      <c r="CF9" s="10">
        <f t="shared" si="43"/>
        <v>0</v>
      </c>
      <c r="CG9" s="10">
        <f t="shared" si="44"/>
        <v>0</v>
      </c>
      <c r="CI9" s="44">
        <v>0.9465</v>
      </c>
      <c r="CJ9" s="10">
        <f t="shared" si="45"/>
        <v>0</v>
      </c>
      <c r="CK9" s="4">
        <f t="shared" si="50"/>
        <v>0</v>
      </c>
      <c r="CM9" s="10">
        <f t="shared" si="51"/>
        <v>0</v>
      </c>
      <c r="CN9" s="4">
        <f t="shared" si="52"/>
        <v>0</v>
      </c>
    </row>
    <row r="10" spans="1:92" ht="15.75">
      <c r="A10" s="36"/>
      <c r="B10" s="110">
        <v>37408</v>
      </c>
      <c r="C10" s="77">
        <f t="shared" si="1"/>
        <v>2.6149</v>
      </c>
      <c r="D10" s="78">
        <f>C10*(1+Podsumowanie!E$11)</f>
        <v>2.693347</v>
      </c>
      <c r="E10" s="34">
        <f t="shared" si="11"/>
        <v>0</v>
      </c>
      <c r="F10" s="7">
        <f t="shared" si="12"/>
        <v>0</v>
      </c>
      <c r="G10" s="7">
        <f t="shared" si="13"/>
        <v>0</v>
      </c>
      <c r="H10" s="7">
        <f t="shared" si="14"/>
        <v>0</v>
      </c>
      <c r="I10" s="32"/>
      <c r="J10" s="4" t="str">
        <f t="shared" si="15"/>
        <v xml:space="preserve"> </v>
      </c>
      <c r="K10" s="4">
        <f>IF(B10&lt;Podsumowanie!E$7,0,K9+1)</f>
        <v>0</v>
      </c>
      <c r="L10" s="100">
        <f t="shared" si="2"/>
        <v>0.012533</v>
      </c>
      <c r="M10" s="38">
        <f>L10+Podsumowanie!E$6</f>
        <v>0.024533</v>
      </c>
      <c r="N10" s="101">
        <f>MAX(Podsumowanie!E$4+SUM(AA$5:AA9)-SUM(X$5:X10)+SUM(W$5:W10),0)</f>
        <v>181357.6981355522</v>
      </c>
      <c r="O10" s="102">
        <f>MAX(Podsumowanie!E$2+SUM(V$5:V9)-SUM(S$5:S10)+SUM(R$5:R10),0)</f>
        <v>400000</v>
      </c>
      <c r="P10" s="39">
        <f t="shared" si="16"/>
        <v>360</v>
      </c>
      <c r="Q10" s="40" t="str">
        <f>IF(AND(K10&gt;0,K10&lt;=Podsumowanie!E$9),"tak","nie")</f>
        <v>nie</v>
      </c>
      <c r="R10" s="41"/>
      <c r="S10" s="42"/>
      <c r="T10" s="88">
        <f t="shared" si="17"/>
        <v>0</v>
      </c>
      <c r="U10" s="89">
        <f>IF(Q10="tak",T10,IF(P10-SUM(AB$5:AB10)+1&gt;0,IF(Podsumowanie!E$7&lt;B10,IF(SUM(AB$5:AB10)-Podsumowanie!E$9+1&gt;0,PMT(M10/12,P10+1-SUM(AB$5:AB10),O10),T10),0),0))</f>
        <v>0</v>
      </c>
      <c r="V10" s="89">
        <f t="shared" si="18"/>
        <v>0</v>
      </c>
      <c r="W10" s="90" t="str">
        <f>IF(R10&gt;0,R10/(C10*(1-Podsumowanie!E$11))," ")</f>
        <v xml:space="preserve"> </v>
      </c>
      <c r="X10" s="90">
        <f t="shared" si="19"/>
        <v>0</v>
      </c>
      <c r="Y10" s="91">
        <f t="shared" si="20"/>
        <v>0</v>
      </c>
      <c r="Z10" s="90">
        <f>IF(P10-SUM(AB$5:AB10)+1&gt;0,IF(Podsumowanie!E$7&lt;B10,IF(SUM(AB$5:AB10)-Podsumowanie!E$9+1&gt;0,PMT(M10/12,P10+1-SUM(AB$5:AB10),N10),Y10),0),0)</f>
        <v>0</v>
      </c>
      <c r="AA10" s="90">
        <f t="shared" si="21"/>
        <v>0</v>
      </c>
      <c r="AB10" s="8" t="str">
        <f>IF(AND(Podsumowanie!E$7&lt;B10,SUM(AB$5:AB9)&lt;P9),1," ")</f>
        <v xml:space="preserve"> </v>
      </c>
      <c r="AD10" s="51">
        <f>IF(OR(B10&lt;Podsumowanie!E$12,Podsumowanie!E$12=""),-F10+S10,0)</f>
        <v>0</v>
      </c>
      <c r="AE10" s="51">
        <f t="shared" si="22"/>
        <v>0</v>
      </c>
      <c r="AG10" s="10">
        <f>Podsumowanie!E$4-SUM(AI$5:AI9)+SUM(W10:W$42)-SUM(X10:X$42)</f>
        <v>181357.6981355522</v>
      </c>
      <c r="AH10" s="10">
        <f t="shared" si="23"/>
        <v>0</v>
      </c>
      <c r="AI10" s="10">
        <f t="shared" si="24"/>
        <v>0</v>
      </c>
      <c r="AJ10" s="10">
        <f t="shared" si="25"/>
        <v>0</v>
      </c>
      <c r="AK10" s="10">
        <f t="shared" si="26"/>
        <v>0</v>
      </c>
      <c r="AL10" s="10">
        <f>Podsumowanie!E$2-SUM(AN$5:AN9)+SUM(R10:R$42)-SUM(S10:S$42)</f>
        <v>400000</v>
      </c>
      <c r="AM10" s="10">
        <f t="shared" si="27"/>
        <v>0</v>
      </c>
      <c r="AN10" s="10">
        <f t="shared" si="28"/>
        <v>0</v>
      </c>
      <c r="AO10" s="10">
        <f t="shared" si="29"/>
        <v>0</v>
      </c>
      <c r="AP10" s="10">
        <f t="shared" si="30"/>
        <v>0</v>
      </c>
      <c r="AR10" s="43">
        <f t="shared" si="31"/>
        <v>37408</v>
      </c>
      <c r="AS10" s="11">
        <f>AS$5+SUM(AV$5:AV9)-SUM(X$5:X10)+SUM(W$5:W10)</f>
        <v>175916.96719148563</v>
      </c>
      <c r="AT10" s="10">
        <f t="shared" si="32"/>
        <v>0</v>
      </c>
      <c r="AU10" s="10">
        <f>IF(AB10=1,IF(Q10="tak",AT10,PMT(M10/12,P10+1-SUM(AB$5:AB10),AS10)),0)</f>
        <v>0</v>
      </c>
      <c r="AV10" s="10">
        <f t="shared" si="33"/>
        <v>0</v>
      </c>
      <c r="AW10" s="10">
        <f t="shared" si="34"/>
        <v>0</v>
      </c>
      <c r="AY10" s="11">
        <f>AY$5+SUM(BA$5:BA9)+SUM(W$5:W9)-SUM(X$5:X9)</f>
        <v>175916.96719148563</v>
      </c>
      <c r="AZ10" s="11">
        <f t="shared" si="35"/>
        <v>0</v>
      </c>
      <c r="BA10" s="11">
        <f t="shared" si="36"/>
        <v>0</v>
      </c>
      <c r="BB10" s="11">
        <f t="shared" si="37"/>
        <v>0</v>
      </c>
      <c r="BC10" s="11">
        <f t="shared" si="38"/>
        <v>0</v>
      </c>
      <c r="BE10" s="172">
        <f t="shared" si="4"/>
        <v>0.096</v>
      </c>
      <c r="BF10" s="44">
        <f>BE10+Podsumowanie!$E$6</f>
        <v>0.108</v>
      </c>
      <c r="BG10" s="11">
        <f>BG$5+SUM(BH$5:BH9)+SUM(R$5:R9)-SUM(S$5:S9)</f>
        <v>400000</v>
      </c>
      <c r="BH10" s="10">
        <f t="shared" si="39"/>
        <v>0</v>
      </c>
      <c r="BI10" s="10">
        <f t="shared" si="40"/>
        <v>0</v>
      </c>
      <c r="BJ10" s="10">
        <f>IF(U10&lt;0,PMT(BF10/12,Podsumowanie!E$8-SUM(AB$5:AB10)+1,BG10),0)</f>
        <v>0</v>
      </c>
      <c r="BL10" s="11">
        <f>BL$5+SUM(BN$5:BN9)+SUM(R$5:R9)-SUM(S$5:S9)</f>
        <v>400000</v>
      </c>
      <c r="BM10" s="11">
        <f t="shared" si="5"/>
        <v>0</v>
      </c>
      <c r="BN10" s="11">
        <f t="shared" si="6"/>
        <v>0</v>
      </c>
      <c r="BO10" s="11">
        <f t="shared" si="7"/>
        <v>0</v>
      </c>
      <c r="BQ10" s="44">
        <f t="shared" si="8"/>
        <v>0.1081</v>
      </c>
      <c r="BR10" s="11">
        <f>BR$5+SUM(BS$5:BS9)+SUM(R$5:R9)-SUM(S$5:S9)+SUM(BV$5:BV9)</f>
        <v>400000</v>
      </c>
      <c r="BS10" s="10">
        <f t="shared" si="46"/>
        <v>0</v>
      </c>
      <c r="BT10" s="10">
        <f t="shared" si="47"/>
        <v>0</v>
      </c>
      <c r="BU10" s="10">
        <f>IF(U10&lt;0,PMT(BQ10/12,Podsumowanie!E$8-SUM(AB$5:AB10)+1,BR10),0)</f>
        <v>0</v>
      </c>
      <c r="BV10" s="10">
        <f t="shared" si="41"/>
        <v>0</v>
      </c>
      <c r="BX10" s="11">
        <f>BX$5+SUM(BZ$5:BZ9)+SUM(R$5:R9)-SUM(S$5:S9)+SUM(CB$5,CB9)</f>
        <v>400000</v>
      </c>
      <c r="BY10" s="10">
        <f t="shared" si="9"/>
        <v>0</v>
      </c>
      <c r="BZ10" s="10">
        <f t="shared" si="10"/>
        <v>0</v>
      </c>
      <c r="CA10" s="10">
        <f t="shared" si="48"/>
        <v>0</v>
      </c>
      <c r="CB10" s="10">
        <f t="shared" si="49"/>
        <v>0</v>
      </c>
      <c r="CD10" s="10">
        <f>CD$5+SUM(CE$5:CE9)+SUM(R$5:R9)-SUM(S$5:S9)-SUM(CF$5:CF9)</f>
        <v>400000</v>
      </c>
      <c r="CE10" s="10">
        <f t="shared" si="42"/>
        <v>0</v>
      </c>
      <c r="CF10" s="10">
        <f t="shared" si="43"/>
        <v>0</v>
      </c>
      <c r="CG10" s="10">
        <f t="shared" si="44"/>
        <v>0</v>
      </c>
      <c r="CI10" s="44">
        <v>0.9504</v>
      </c>
      <c r="CJ10" s="10">
        <f t="shared" si="45"/>
        <v>0</v>
      </c>
      <c r="CK10" s="4">
        <f t="shared" si="50"/>
        <v>0</v>
      </c>
      <c r="CM10" s="10">
        <f t="shared" si="51"/>
        <v>0</v>
      </c>
      <c r="CN10" s="4">
        <f t="shared" si="52"/>
        <v>0</v>
      </c>
    </row>
    <row r="11" spans="1:92" ht="15.75">
      <c r="A11" s="36"/>
      <c r="B11" s="110">
        <v>37438</v>
      </c>
      <c r="C11" s="77">
        <f t="shared" si="1"/>
        <v>2.7957</v>
      </c>
      <c r="D11" s="78">
        <f>C11*(1+Podsumowanie!E$11)</f>
        <v>2.8795710000000003</v>
      </c>
      <c r="E11" s="34">
        <f t="shared" si="11"/>
        <v>0</v>
      </c>
      <c r="F11" s="7">
        <f t="shared" si="12"/>
        <v>0</v>
      </c>
      <c r="G11" s="7">
        <f t="shared" si="13"/>
        <v>0</v>
      </c>
      <c r="H11" s="7">
        <f t="shared" si="14"/>
        <v>0</v>
      </c>
      <c r="I11" s="32"/>
      <c r="J11" s="4" t="str">
        <f t="shared" si="15"/>
        <v xml:space="preserve"> </v>
      </c>
      <c r="K11" s="4">
        <f>IF(B11&lt;Podsumowanie!E$7,0,K10+1)</f>
        <v>0</v>
      </c>
      <c r="L11" s="100">
        <f t="shared" si="2"/>
        <v>0.012333</v>
      </c>
      <c r="M11" s="38">
        <f>L11+Podsumowanie!E$6</f>
        <v>0.024333</v>
      </c>
      <c r="N11" s="101">
        <f>MAX(Podsumowanie!E$4+SUM(AA$5:AA10)-SUM(X$5:X11)+SUM(W$5:W11),0)</f>
        <v>181357.6981355522</v>
      </c>
      <c r="O11" s="102">
        <f>MAX(Podsumowanie!E$2+SUM(V$5:V10)-SUM(S$5:S11)+SUM(R$5:R11),0)</f>
        <v>400000</v>
      </c>
      <c r="P11" s="39">
        <f t="shared" si="16"/>
        <v>360</v>
      </c>
      <c r="Q11" s="40" t="str">
        <f>IF(AND(K11&gt;0,K11&lt;=Podsumowanie!E$9),"tak","nie")</f>
        <v>nie</v>
      </c>
      <c r="R11" s="41"/>
      <c r="S11" s="42"/>
      <c r="T11" s="88">
        <f t="shared" si="17"/>
        <v>0</v>
      </c>
      <c r="U11" s="89">
        <f>IF(Q11="tak",T11,IF(P11-SUM(AB$5:AB11)+1&gt;0,IF(Podsumowanie!E$7&lt;B11,IF(SUM(AB$5:AB11)-Podsumowanie!E$9+1&gt;0,PMT(M11/12,P11+1-SUM(AB$5:AB11),O11),T11),0),0))</f>
        <v>0</v>
      </c>
      <c r="V11" s="89">
        <f t="shared" si="18"/>
        <v>0</v>
      </c>
      <c r="W11" s="90" t="str">
        <f>IF(R11&gt;0,R11/(C11*(1-Podsumowanie!E$11))," ")</f>
        <v xml:space="preserve"> </v>
      </c>
      <c r="X11" s="90">
        <f t="shared" si="19"/>
        <v>0</v>
      </c>
      <c r="Y11" s="91">
        <f t="shared" si="20"/>
        <v>0</v>
      </c>
      <c r="Z11" s="90">
        <f>IF(P11-SUM(AB$5:AB11)+1&gt;0,IF(Podsumowanie!E$7&lt;B11,IF(SUM(AB$5:AB11)-Podsumowanie!E$9+1&gt;0,PMT(M11/12,P11+1-SUM(AB$5:AB11),N11),Y11),0),0)</f>
        <v>0</v>
      </c>
      <c r="AA11" s="90">
        <f t="shared" si="21"/>
        <v>0</v>
      </c>
      <c r="AB11" s="8" t="str">
        <f>IF(AND(Podsumowanie!E$7&lt;B11,SUM(AB$5:AB10)&lt;P10),1," ")</f>
        <v xml:space="preserve"> </v>
      </c>
      <c r="AD11" s="51">
        <f>IF(OR(B11&lt;Podsumowanie!E$12,Podsumowanie!E$12=""),-F11+S11,0)</f>
        <v>0</v>
      </c>
      <c r="AE11" s="51">
        <f t="shared" si="22"/>
        <v>0</v>
      </c>
      <c r="AG11" s="10">
        <f>Podsumowanie!E$4-SUM(AI$5:AI10)+SUM(W11:W$42)-SUM(X11:X$42)</f>
        <v>181357.6981355522</v>
      </c>
      <c r="AH11" s="10">
        <f t="shared" si="23"/>
        <v>0</v>
      </c>
      <c r="AI11" s="10">
        <f t="shared" si="24"/>
        <v>0</v>
      </c>
      <c r="AJ11" s="10">
        <f t="shared" si="25"/>
        <v>0</v>
      </c>
      <c r="AK11" s="10">
        <f t="shared" si="26"/>
        <v>0</v>
      </c>
      <c r="AL11" s="10">
        <f>Podsumowanie!E$2-SUM(AN$5:AN10)+SUM(R11:R$42)-SUM(S11:S$42)</f>
        <v>400000</v>
      </c>
      <c r="AM11" s="10">
        <f t="shared" si="27"/>
        <v>0</v>
      </c>
      <c r="AN11" s="10">
        <f t="shared" si="28"/>
        <v>0</v>
      </c>
      <c r="AO11" s="10">
        <f t="shared" si="29"/>
        <v>0</v>
      </c>
      <c r="AP11" s="10">
        <f t="shared" si="30"/>
        <v>0</v>
      </c>
      <c r="AR11" s="43">
        <f t="shared" si="31"/>
        <v>37438</v>
      </c>
      <c r="AS11" s="11">
        <f>AS$5+SUM(AV$5:AV10)-SUM(X$5:X11)+SUM(W$5:W11)</f>
        <v>175916.96719148563</v>
      </c>
      <c r="AT11" s="10">
        <f t="shared" si="32"/>
        <v>0</v>
      </c>
      <c r="AU11" s="10">
        <f>IF(AB11=1,IF(Q11="tak",AT11,PMT(M11/12,P11+1-SUM(AB$5:AB11),AS11)),0)</f>
        <v>0</v>
      </c>
      <c r="AV11" s="10">
        <f t="shared" si="33"/>
        <v>0</v>
      </c>
      <c r="AW11" s="10">
        <f t="shared" si="34"/>
        <v>0</v>
      </c>
      <c r="AY11" s="11">
        <f>AY$5+SUM(BA$5:BA10)+SUM(W$5:W10)-SUM(X$5:X10)</f>
        <v>175916.96719148563</v>
      </c>
      <c r="AZ11" s="11">
        <f t="shared" si="35"/>
        <v>0</v>
      </c>
      <c r="BA11" s="11">
        <f t="shared" si="36"/>
        <v>0</v>
      </c>
      <c r="BB11" s="11">
        <f t="shared" si="37"/>
        <v>0</v>
      </c>
      <c r="BC11" s="11">
        <f t="shared" si="38"/>
        <v>0</v>
      </c>
      <c r="BE11" s="172">
        <f t="shared" si="4"/>
        <v>0.0893</v>
      </c>
      <c r="BF11" s="44">
        <f>BE11+Podsumowanie!$E$6</f>
        <v>0.1013</v>
      </c>
      <c r="BG11" s="11">
        <f>BG$5+SUM(BH$5:BH10)+SUM(R$5:R10)-SUM(S$5:S10)</f>
        <v>400000</v>
      </c>
      <c r="BH11" s="10">
        <f t="shared" si="39"/>
        <v>0</v>
      </c>
      <c r="BI11" s="10">
        <f t="shared" si="40"/>
        <v>0</v>
      </c>
      <c r="BJ11" s="10">
        <f>IF(U11&lt;0,PMT(BF11/12,Podsumowanie!E$8-SUM(AB$5:AB11)+1,BG11),0)</f>
        <v>0</v>
      </c>
      <c r="BL11" s="11">
        <f>BL$5+SUM(BN$5:BN10)+SUM(R$5:R10)-SUM(S$5:S10)</f>
        <v>400000</v>
      </c>
      <c r="BM11" s="11">
        <f t="shared" si="5"/>
        <v>0</v>
      </c>
      <c r="BN11" s="11">
        <f t="shared" si="6"/>
        <v>0</v>
      </c>
      <c r="BO11" s="11">
        <f t="shared" si="7"/>
        <v>0</v>
      </c>
      <c r="BQ11" s="44">
        <f t="shared" si="8"/>
        <v>0.1014</v>
      </c>
      <c r="BR11" s="11">
        <f>BR$5+SUM(BS$5:BS10)+SUM(R$5:R10)-SUM(S$5:S10)+SUM(BV$5:BV10)</f>
        <v>400000</v>
      </c>
      <c r="BS11" s="10">
        <f t="shared" si="46"/>
        <v>0</v>
      </c>
      <c r="BT11" s="10">
        <f t="shared" si="47"/>
        <v>0</v>
      </c>
      <c r="BU11" s="10">
        <f>IF(U11&lt;0,PMT(BQ11/12,Podsumowanie!E$8-SUM(AB$5:AB11)+1,BR11),0)</f>
        <v>0</v>
      </c>
      <c r="BV11" s="10">
        <f t="shared" si="41"/>
        <v>0</v>
      </c>
      <c r="BX11" s="11">
        <f>BX$5+SUM(BZ$5:BZ10)+SUM(R$5:R10)-SUM(S$5:S10)+SUM(CB$5,CB10)</f>
        <v>400000</v>
      </c>
      <c r="BY11" s="10">
        <f t="shared" si="9"/>
        <v>0</v>
      </c>
      <c r="BZ11" s="10">
        <f t="shared" si="10"/>
        <v>0</v>
      </c>
      <c r="CA11" s="10">
        <f t="shared" si="48"/>
        <v>0</v>
      </c>
      <c r="CB11" s="10">
        <f t="shared" si="49"/>
        <v>0</v>
      </c>
      <c r="CD11" s="10">
        <f>CD$5+SUM(CE$5:CE10)+SUM(R$5:R10)-SUM(S$5:S10)-SUM(CF$5:CF10)</f>
        <v>400000</v>
      </c>
      <c r="CE11" s="10">
        <f t="shared" si="42"/>
        <v>0</v>
      </c>
      <c r="CF11" s="10">
        <f t="shared" si="43"/>
        <v>0</v>
      </c>
      <c r="CG11" s="10">
        <f t="shared" si="44"/>
        <v>0</v>
      </c>
      <c r="CI11" s="44">
        <v>0.9582</v>
      </c>
      <c r="CJ11" s="10">
        <f t="shared" si="45"/>
        <v>0</v>
      </c>
      <c r="CK11" s="4">
        <f t="shared" si="50"/>
        <v>0</v>
      </c>
      <c r="CM11" s="10">
        <f t="shared" si="51"/>
        <v>0</v>
      </c>
      <c r="CN11" s="4">
        <f t="shared" si="52"/>
        <v>0</v>
      </c>
    </row>
    <row r="12" spans="1:92" ht="15.75">
      <c r="A12" s="36"/>
      <c r="B12" s="110">
        <v>37469</v>
      </c>
      <c r="C12" s="77">
        <f t="shared" si="1"/>
        <v>2.7926</v>
      </c>
      <c r="D12" s="78">
        <f>C12*(1+Podsumowanie!E$11)</f>
        <v>2.8763780000000003</v>
      </c>
      <c r="E12" s="34">
        <f t="shared" si="11"/>
        <v>0</v>
      </c>
      <c r="F12" s="7">
        <f t="shared" si="12"/>
        <v>0</v>
      </c>
      <c r="G12" s="7">
        <f t="shared" si="13"/>
        <v>0</v>
      </c>
      <c r="H12" s="7">
        <f t="shared" si="14"/>
        <v>0</v>
      </c>
      <c r="I12" s="32"/>
      <c r="J12" s="4" t="str">
        <f t="shared" si="15"/>
        <v xml:space="preserve"> </v>
      </c>
      <c r="K12" s="4">
        <f>IF(B12&lt;Podsumowanie!E$7,0,K11+1)</f>
        <v>0</v>
      </c>
      <c r="L12" s="100">
        <f t="shared" si="2"/>
        <v>0.00795</v>
      </c>
      <c r="M12" s="38">
        <f>L12+Podsumowanie!E$6</f>
        <v>0.019950000000000002</v>
      </c>
      <c r="N12" s="101">
        <f>MAX(Podsumowanie!E$4+SUM(AA$5:AA11)-SUM(X$5:X12)+SUM(W$5:W12),0)</f>
        <v>181357.6981355522</v>
      </c>
      <c r="O12" s="102">
        <f>MAX(Podsumowanie!E$2+SUM(V$5:V11)-SUM(S$5:S12)+SUM(R$5:R12),0)</f>
        <v>400000</v>
      </c>
      <c r="P12" s="39">
        <f t="shared" si="16"/>
        <v>360</v>
      </c>
      <c r="Q12" s="40" t="str">
        <f>IF(AND(K12&gt;0,K12&lt;=Podsumowanie!E$9),"tak","nie")</f>
        <v>nie</v>
      </c>
      <c r="R12" s="41"/>
      <c r="S12" s="42"/>
      <c r="T12" s="88">
        <f t="shared" si="17"/>
        <v>0</v>
      </c>
      <c r="U12" s="89">
        <f>IF(Q12="tak",T12,IF(P12-SUM(AB$5:AB12)+1&gt;0,IF(Podsumowanie!E$7&lt;B12,IF(SUM(AB$5:AB12)-Podsumowanie!E$9+1&gt;0,PMT(M12/12,P12+1-SUM(AB$5:AB12),O12),T12),0),0))</f>
        <v>0</v>
      </c>
      <c r="V12" s="89">
        <f t="shared" si="18"/>
        <v>0</v>
      </c>
      <c r="W12" s="90" t="str">
        <f>IF(R12&gt;0,R12/(C12*(1-Podsumowanie!E$11))," ")</f>
        <v xml:space="preserve"> </v>
      </c>
      <c r="X12" s="90">
        <f t="shared" si="19"/>
        <v>0</v>
      </c>
      <c r="Y12" s="91">
        <f t="shared" si="20"/>
        <v>0</v>
      </c>
      <c r="Z12" s="90">
        <f>IF(P12-SUM(AB$5:AB12)+1&gt;0,IF(Podsumowanie!E$7&lt;B12,IF(SUM(AB$5:AB12)-Podsumowanie!E$9+1&gt;0,PMT(M12/12,P12+1-SUM(AB$5:AB12),N12),Y12),0),0)</f>
        <v>0</v>
      </c>
      <c r="AA12" s="90">
        <f t="shared" si="21"/>
        <v>0</v>
      </c>
      <c r="AB12" s="8" t="str">
        <f>IF(AND(Podsumowanie!E$7&lt;B12,SUM(AB$5:AB11)&lt;P11),1," ")</f>
        <v xml:space="preserve"> </v>
      </c>
      <c r="AD12" s="51">
        <f>IF(OR(B12&lt;Podsumowanie!E$12,Podsumowanie!E$12=""),-F12+S12,0)</f>
        <v>0</v>
      </c>
      <c r="AE12" s="51">
        <f t="shared" si="22"/>
        <v>0</v>
      </c>
      <c r="AG12" s="10">
        <f>Podsumowanie!E$4-SUM(AI$5:AI11)+SUM(W12:W$42)-SUM(X12:X$42)</f>
        <v>181357.6981355522</v>
      </c>
      <c r="AH12" s="10">
        <f t="shared" si="23"/>
        <v>0</v>
      </c>
      <c r="AI12" s="10">
        <f t="shared" si="24"/>
        <v>0</v>
      </c>
      <c r="AJ12" s="10">
        <f t="shared" si="25"/>
        <v>0</v>
      </c>
      <c r="AK12" s="10">
        <f t="shared" si="26"/>
        <v>0</v>
      </c>
      <c r="AL12" s="10">
        <f>Podsumowanie!E$2-SUM(AN$5:AN11)+SUM(R12:R$42)-SUM(S12:S$42)</f>
        <v>400000</v>
      </c>
      <c r="AM12" s="10">
        <f t="shared" si="27"/>
        <v>0</v>
      </c>
      <c r="AN12" s="10">
        <f t="shared" si="28"/>
        <v>0</v>
      </c>
      <c r="AO12" s="10">
        <f t="shared" si="29"/>
        <v>0</v>
      </c>
      <c r="AP12" s="10">
        <f t="shared" si="30"/>
        <v>0</v>
      </c>
      <c r="AR12" s="43">
        <f t="shared" si="31"/>
        <v>37469</v>
      </c>
      <c r="AS12" s="11">
        <f>AS$5+SUM(AV$5:AV11)-SUM(X$5:X12)+SUM(W$5:W12)</f>
        <v>175916.96719148563</v>
      </c>
      <c r="AT12" s="10">
        <f t="shared" si="32"/>
        <v>0</v>
      </c>
      <c r="AU12" s="10">
        <f>IF(AB12=1,IF(Q12="tak",AT12,PMT(M12/12,P12+1-SUM(AB$5:AB12),AS12)),0)</f>
        <v>0</v>
      </c>
      <c r="AV12" s="10">
        <f t="shared" si="33"/>
        <v>0</v>
      </c>
      <c r="AW12" s="10">
        <f t="shared" si="34"/>
        <v>0</v>
      </c>
      <c r="AY12" s="11">
        <f>AY$5+SUM(BA$5:BA11)+SUM(W$5:W11)-SUM(X$5:X11)</f>
        <v>175916.96719148563</v>
      </c>
      <c r="AZ12" s="11">
        <f t="shared" si="35"/>
        <v>0</v>
      </c>
      <c r="BA12" s="11">
        <f t="shared" si="36"/>
        <v>0</v>
      </c>
      <c r="BB12" s="11">
        <f t="shared" si="37"/>
        <v>0</v>
      </c>
      <c r="BC12" s="11">
        <f t="shared" si="38"/>
        <v>0</v>
      </c>
      <c r="BE12" s="172">
        <f t="shared" si="4"/>
        <v>0.0865</v>
      </c>
      <c r="BF12" s="44">
        <f>BE12+Podsumowanie!$E$6</f>
        <v>0.09849999999999999</v>
      </c>
      <c r="BG12" s="11">
        <f>BG$5+SUM(BH$5:BH11)+SUM(R$5:R11)-SUM(S$5:S11)</f>
        <v>400000</v>
      </c>
      <c r="BH12" s="10">
        <f t="shared" si="39"/>
        <v>0</v>
      </c>
      <c r="BI12" s="10">
        <f t="shared" si="40"/>
        <v>0</v>
      </c>
      <c r="BJ12" s="10">
        <f>IF(U12&lt;0,PMT(BF12/12,Podsumowanie!E$8-SUM(AB$5:AB12)+1,BG12),0)</f>
        <v>0</v>
      </c>
      <c r="BL12" s="11">
        <f>BL$5+SUM(BN$5:BN11)+SUM(R$5:R11)-SUM(S$5:S11)</f>
        <v>400000</v>
      </c>
      <c r="BM12" s="11">
        <f t="shared" si="5"/>
        <v>0</v>
      </c>
      <c r="BN12" s="11">
        <f t="shared" si="6"/>
        <v>0</v>
      </c>
      <c r="BO12" s="11">
        <f t="shared" si="7"/>
        <v>0</v>
      </c>
      <c r="BQ12" s="44">
        <f t="shared" si="8"/>
        <v>0.0986</v>
      </c>
      <c r="BR12" s="11">
        <f>BR$5+SUM(BS$5:BS11)+SUM(R$5:R11)-SUM(S$5:S11)+SUM(BV$5:BV11)</f>
        <v>400000</v>
      </c>
      <c r="BS12" s="10">
        <f t="shared" si="46"/>
        <v>0</v>
      </c>
      <c r="BT12" s="10">
        <f t="shared" si="47"/>
        <v>0</v>
      </c>
      <c r="BU12" s="10">
        <f>IF(U12&lt;0,PMT(BQ12/12,Podsumowanie!E$8-SUM(AB$5:AB12)+1,BR12),0)</f>
        <v>0</v>
      </c>
      <c r="BV12" s="10">
        <f t="shared" si="41"/>
        <v>0</v>
      </c>
      <c r="BX12" s="11">
        <f>BX$5+SUM(BZ$5:BZ11)+SUM(R$5:R11)-SUM(S$5:S11)+SUM(CB$5,CB11)</f>
        <v>400000</v>
      </c>
      <c r="BY12" s="10">
        <f t="shared" si="9"/>
        <v>0</v>
      </c>
      <c r="BZ12" s="10">
        <f t="shared" si="10"/>
        <v>0</v>
      </c>
      <c r="CA12" s="10">
        <f t="shared" si="48"/>
        <v>0</v>
      </c>
      <c r="CB12" s="10">
        <f t="shared" si="49"/>
        <v>0</v>
      </c>
      <c r="CD12" s="10">
        <f>CD$5+SUM(CE$5:CE11)+SUM(R$5:R11)-SUM(S$5:S11)-SUM(CF$5:CF11)</f>
        <v>400000</v>
      </c>
      <c r="CE12" s="10">
        <f t="shared" si="42"/>
        <v>0</v>
      </c>
      <c r="CF12" s="10">
        <f t="shared" si="43"/>
        <v>0</v>
      </c>
      <c r="CG12" s="10">
        <f t="shared" si="44"/>
        <v>0</v>
      </c>
      <c r="CI12" s="44">
        <v>0.9681</v>
      </c>
      <c r="CJ12" s="10">
        <f t="shared" si="45"/>
        <v>0</v>
      </c>
      <c r="CK12" s="4">
        <f t="shared" si="50"/>
        <v>0</v>
      </c>
      <c r="CM12" s="10">
        <f t="shared" si="51"/>
        <v>0</v>
      </c>
      <c r="CN12" s="4">
        <f t="shared" si="52"/>
        <v>0</v>
      </c>
    </row>
    <row r="13" spans="1:92" ht="15.75">
      <c r="A13" s="36"/>
      <c r="B13" s="110">
        <v>37500</v>
      </c>
      <c r="C13" s="77">
        <f t="shared" si="1"/>
        <v>2.7803</v>
      </c>
      <c r="D13" s="78">
        <f>C13*(1+Podsumowanie!E$11)</f>
        <v>2.863709</v>
      </c>
      <c r="E13" s="34">
        <f t="shared" si="11"/>
        <v>0</v>
      </c>
      <c r="F13" s="7">
        <f t="shared" si="12"/>
        <v>0</v>
      </c>
      <c r="G13" s="7">
        <f t="shared" si="13"/>
        <v>0</v>
      </c>
      <c r="H13" s="7">
        <f t="shared" si="14"/>
        <v>0</v>
      </c>
      <c r="I13" s="32"/>
      <c r="J13" s="4" t="str">
        <f t="shared" si="15"/>
        <v xml:space="preserve"> </v>
      </c>
      <c r="K13" s="4">
        <f>IF(B13&lt;Podsumowanie!E$7,0,K12+1)</f>
        <v>0</v>
      </c>
      <c r="L13" s="100">
        <f t="shared" si="2"/>
        <v>0.007467</v>
      </c>
      <c r="M13" s="38">
        <f>L13+Podsumowanie!E$6</f>
        <v>0.019466999999999998</v>
      </c>
      <c r="N13" s="101">
        <f>MAX(Podsumowanie!E$4+SUM(AA$5:AA12)-SUM(X$5:X13)+SUM(W$5:W13),0)</f>
        <v>181357.6981355522</v>
      </c>
      <c r="O13" s="102">
        <f>MAX(Podsumowanie!E$2+SUM(V$5:V12)-SUM(S$5:S13)+SUM(R$5:R13),0)</f>
        <v>400000</v>
      </c>
      <c r="P13" s="39">
        <f t="shared" si="16"/>
        <v>360</v>
      </c>
      <c r="Q13" s="40" t="str">
        <f>IF(AND(K13&gt;0,K13&lt;=Podsumowanie!E$9),"tak","nie")</f>
        <v>nie</v>
      </c>
      <c r="R13" s="41"/>
      <c r="S13" s="42"/>
      <c r="T13" s="88">
        <f t="shared" si="17"/>
        <v>0</v>
      </c>
      <c r="U13" s="89">
        <f>IF(Q13="tak",T13,IF(P13-SUM(AB$5:AB13)+1&gt;0,IF(Podsumowanie!E$7&lt;B13,IF(SUM(AB$5:AB13)-Podsumowanie!E$9+1&gt;0,PMT(M13/12,P13+1-SUM(AB$5:AB13),O13),T13),0),0))</f>
        <v>0</v>
      </c>
      <c r="V13" s="89">
        <f t="shared" si="18"/>
        <v>0</v>
      </c>
      <c r="W13" s="90" t="str">
        <f>IF(R13&gt;0,R13/(C13*(1-Podsumowanie!E$11))," ")</f>
        <v xml:space="preserve"> </v>
      </c>
      <c r="X13" s="90">
        <f t="shared" si="19"/>
        <v>0</v>
      </c>
      <c r="Y13" s="91">
        <f t="shared" si="20"/>
        <v>0</v>
      </c>
      <c r="Z13" s="90">
        <f>IF(P13-SUM(AB$5:AB13)+1&gt;0,IF(Podsumowanie!E$7&lt;B13,IF(SUM(AB$5:AB13)-Podsumowanie!E$9+1&gt;0,PMT(M13/12,P13+1-SUM(AB$5:AB13),N13),Y13),0),0)</f>
        <v>0</v>
      </c>
      <c r="AA13" s="90">
        <f t="shared" si="21"/>
        <v>0</v>
      </c>
      <c r="AB13" s="8" t="str">
        <f>IF(AND(Podsumowanie!E$7&lt;B13,SUM(AB$5:AB12)&lt;P12),1," ")</f>
        <v xml:space="preserve"> </v>
      </c>
      <c r="AD13" s="51">
        <f>IF(OR(B13&lt;Podsumowanie!E$12,Podsumowanie!E$12=""),-F13+S13,0)</f>
        <v>0</v>
      </c>
      <c r="AE13" s="51">
        <f t="shared" si="22"/>
        <v>0</v>
      </c>
      <c r="AG13" s="10">
        <f>Podsumowanie!E$4-SUM(AI$5:AI12)+SUM(W13:W$42)-SUM(X13:X$42)</f>
        <v>181357.6981355522</v>
      </c>
      <c r="AH13" s="10">
        <f t="shared" si="23"/>
        <v>0</v>
      </c>
      <c r="AI13" s="10">
        <f t="shared" si="24"/>
        <v>0</v>
      </c>
      <c r="AJ13" s="10">
        <f t="shared" si="25"/>
        <v>0</v>
      </c>
      <c r="AK13" s="10">
        <f t="shared" si="26"/>
        <v>0</v>
      </c>
      <c r="AL13" s="10">
        <f>Podsumowanie!E$2-SUM(AN$5:AN12)+SUM(R13:R$42)-SUM(S13:S$42)</f>
        <v>400000</v>
      </c>
      <c r="AM13" s="10">
        <f t="shared" si="27"/>
        <v>0</v>
      </c>
      <c r="AN13" s="10">
        <f t="shared" si="28"/>
        <v>0</v>
      </c>
      <c r="AO13" s="10">
        <f t="shared" si="29"/>
        <v>0</v>
      </c>
      <c r="AP13" s="10">
        <f t="shared" si="30"/>
        <v>0</v>
      </c>
      <c r="AR13" s="43">
        <f t="shared" si="31"/>
        <v>37500</v>
      </c>
      <c r="AS13" s="11">
        <f>AS$5+SUM(AV$5:AV12)-SUM(X$5:X13)+SUM(W$5:W13)</f>
        <v>175916.96719148563</v>
      </c>
      <c r="AT13" s="10">
        <f t="shared" si="32"/>
        <v>0</v>
      </c>
      <c r="AU13" s="10">
        <f>IF(AB13=1,IF(Q13="tak",AT13,PMT(M13/12,P13+1-SUM(AB$5:AB13),AS13)),0)</f>
        <v>0</v>
      </c>
      <c r="AV13" s="10">
        <f t="shared" si="33"/>
        <v>0</v>
      </c>
      <c r="AW13" s="10">
        <f t="shared" si="34"/>
        <v>0</v>
      </c>
      <c r="AY13" s="11">
        <f>AY$5+SUM(BA$5:BA12)+SUM(W$5:W12)-SUM(X$5:X12)</f>
        <v>175916.96719148563</v>
      </c>
      <c r="AZ13" s="11">
        <f t="shared" si="35"/>
        <v>0</v>
      </c>
      <c r="BA13" s="11">
        <f t="shared" si="36"/>
        <v>0</v>
      </c>
      <c r="BB13" s="11">
        <f t="shared" si="37"/>
        <v>0</v>
      </c>
      <c r="BC13" s="11">
        <f t="shared" si="38"/>
        <v>0</v>
      </c>
      <c r="BE13" s="172">
        <f t="shared" si="4"/>
        <v>0.0833</v>
      </c>
      <c r="BF13" s="44">
        <f>BE13+Podsumowanie!$E$6</f>
        <v>0.0953</v>
      </c>
      <c r="BG13" s="11">
        <f>BG$5+SUM(BH$5:BH12)+SUM(R$5:R12)-SUM(S$5:S12)</f>
        <v>400000</v>
      </c>
      <c r="BH13" s="10">
        <f t="shared" si="39"/>
        <v>0</v>
      </c>
      <c r="BI13" s="10">
        <f t="shared" si="40"/>
        <v>0</v>
      </c>
      <c r="BJ13" s="10">
        <f>IF(U13&lt;0,PMT(BF13/12,Podsumowanie!E$8-SUM(AB$5:AB13)+1,BG13),0)</f>
        <v>0</v>
      </c>
      <c r="BL13" s="11">
        <f>BL$5+SUM(BN$5:BN12)+SUM(R$5:R12)-SUM(S$5:S12)</f>
        <v>400000</v>
      </c>
      <c r="BM13" s="11">
        <f t="shared" si="5"/>
        <v>0</v>
      </c>
      <c r="BN13" s="11">
        <f t="shared" si="6"/>
        <v>0</v>
      </c>
      <c r="BO13" s="11">
        <f t="shared" si="7"/>
        <v>0</v>
      </c>
      <c r="BQ13" s="44">
        <f t="shared" si="8"/>
        <v>0.0954</v>
      </c>
      <c r="BR13" s="11">
        <f>BR$5+SUM(BS$5:BS12)+SUM(R$5:R12)-SUM(S$5:S12)+SUM(BV$5:BV12)</f>
        <v>400000</v>
      </c>
      <c r="BS13" s="10">
        <f t="shared" si="46"/>
        <v>0</v>
      </c>
      <c r="BT13" s="10">
        <f t="shared" si="47"/>
        <v>0</v>
      </c>
      <c r="BU13" s="10">
        <f>IF(U13&lt;0,PMT(BQ13/12,Podsumowanie!E$8-SUM(AB$5:AB13)+1,BR13),0)</f>
        <v>0</v>
      </c>
      <c r="BV13" s="10">
        <f t="shared" si="41"/>
        <v>0</v>
      </c>
      <c r="BX13" s="11">
        <f>BX$5+SUM(BZ$5:BZ12)+SUM(R$5:R12)-SUM(S$5:S12)+SUM(CB$5,CB12)</f>
        <v>400000</v>
      </c>
      <c r="BY13" s="10">
        <f t="shared" si="9"/>
        <v>0</v>
      </c>
      <c r="BZ13" s="10">
        <f t="shared" si="10"/>
        <v>0</v>
      </c>
      <c r="CA13" s="10">
        <f t="shared" si="48"/>
        <v>0</v>
      </c>
      <c r="CB13" s="10">
        <f t="shared" si="49"/>
        <v>0</v>
      </c>
      <c r="CD13" s="10">
        <f>CD$5+SUM(CE$5:CE12)+SUM(R$5:R12)-SUM(S$5:S12)-SUM(CF$5:CF12)</f>
        <v>400000</v>
      </c>
      <c r="CE13" s="10">
        <f t="shared" si="42"/>
        <v>0</v>
      </c>
      <c r="CF13" s="10">
        <f t="shared" si="43"/>
        <v>0</v>
      </c>
      <c r="CG13" s="10">
        <f t="shared" si="44"/>
        <v>0</v>
      </c>
      <c r="CI13" s="44">
        <v>0.976</v>
      </c>
      <c r="CJ13" s="10">
        <f t="shared" si="45"/>
        <v>0</v>
      </c>
      <c r="CK13" s="4">
        <f t="shared" si="50"/>
        <v>0</v>
      </c>
      <c r="CM13" s="10">
        <f t="shared" si="51"/>
        <v>0</v>
      </c>
      <c r="CN13" s="4">
        <f t="shared" si="52"/>
        <v>0</v>
      </c>
    </row>
    <row r="14" spans="1:92" ht="15.75">
      <c r="A14" s="36"/>
      <c r="B14" s="110">
        <v>37530</v>
      </c>
      <c r="C14" s="77">
        <f t="shared" si="1"/>
        <v>2.7613</v>
      </c>
      <c r="D14" s="78">
        <f>C14*(1+Podsumowanie!E$11)</f>
        <v>2.8441389999999998</v>
      </c>
      <c r="E14" s="34">
        <f t="shared" si="11"/>
        <v>0</v>
      </c>
      <c r="F14" s="7">
        <f t="shared" si="12"/>
        <v>0</v>
      </c>
      <c r="G14" s="7">
        <f t="shared" si="13"/>
        <v>0</v>
      </c>
      <c r="H14" s="7">
        <f t="shared" si="14"/>
        <v>0</v>
      </c>
      <c r="I14" s="32"/>
      <c r="J14" s="4" t="str">
        <f t="shared" si="15"/>
        <v xml:space="preserve"> </v>
      </c>
      <c r="K14" s="4">
        <f>IF(B14&lt;Podsumowanie!E$7,0,K13+1)</f>
        <v>0</v>
      </c>
      <c r="L14" s="100">
        <f t="shared" si="2"/>
        <v>0.007333</v>
      </c>
      <c r="M14" s="38">
        <f>L14+Podsumowanie!E$6</f>
        <v>0.019333</v>
      </c>
      <c r="N14" s="101">
        <f>MAX(Podsumowanie!E$4+SUM(AA$5:AA13)-SUM(X$5:X14)+SUM(W$5:W14),0)</f>
        <v>181357.6981355522</v>
      </c>
      <c r="O14" s="102">
        <f>MAX(Podsumowanie!E$2+SUM(V$5:V13)-SUM(S$5:S14)+SUM(R$5:R14),0)</f>
        <v>400000</v>
      </c>
      <c r="P14" s="39">
        <f t="shared" si="16"/>
        <v>360</v>
      </c>
      <c r="Q14" s="40" t="str">
        <f>IF(AND(K14&gt;0,K14&lt;=Podsumowanie!E$9),"tak","nie")</f>
        <v>nie</v>
      </c>
      <c r="R14" s="41"/>
      <c r="S14" s="42"/>
      <c r="T14" s="88">
        <f t="shared" si="17"/>
        <v>0</v>
      </c>
      <c r="U14" s="89">
        <f>IF(Q14="tak",T14,IF(P14-SUM(AB$5:AB14)+1&gt;0,IF(Podsumowanie!E$7&lt;B14,IF(SUM(AB$5:AB14)-Podsumowanie!E$9+1&gt;0,PMT(M14/12,P14+1-SUM(AB$5:AB14),O14),T14),0),0))</f>
        <v>0</v>
      </c>
      <c r="V14" s="89">
        <f t="shared" si="18"/>
        <v>0</v>
      </c>
      <c r="W14" s="90" t="str">
        <f>IF(R14&gt;0,R14/(C14*(1-Podsumowanie!E$11))," ")</f>
        <v xml:space="preserve"> </v>
      </c>
      <c r="X14" s="90">
        <f t="shared" si="19"/>
        <v>0</v>
      </c>
      <c r="Y14" s="91">
        <f t="shared" si="20"/>
        <v>0</v>
      </c>
      <c r="Z14" s="90">
        <f>IF(P14-SUM(AB$5:AB14)+1&gt;0,IF(Podsumowanie!E$7&lt;B14,IF(SUM(AB$5:AB14)-Podsumowanie!E$9+1&gt;0,PMT(M14/12,P14+1-SUM(AB$5:AB14),N14),Y14),0),0)</f>
        <v>0</v>
      </c>
      <c r="AA14" s="90">
        <f t="shared" si="21"/>
        <v>0</v>
      </c>
      <c r="AB14" s="8" t="str">
        <f>IF(AND(Podsumowanie!E$7&lt;B14,SUM(AB$5:AB13)&lt;P13),1," ")</f>
        <v xml:space="preserve"> </v>
      </c>
      <c r="AD14" s="51">
        <f>IF(OR(B14&lt;Podsumowanie!E$12,Podsumowanie!E$12=""),-F14+S14,0)</f>
        <v>0</v>
      </c>
      <c r="AE14" s="51">
        <f t="shared" si="22"/>
        <v>0</v>
      </c>
      <c r="AG14" s="10">
        <f>Podsumowanie!E$4-SUM(AI$5:AI13)+SUM(W14:W$42)-SUM(X14:X$42)</f>
        <v>181357.6981355522</v>
      </c>
      <c r="AH14" s="10">
        <f t="shared" si="23"/>
        <v>0</v>
      </c>
      <c r="AI14" s="10">
        <f t="shared" si="24"/>
        <v>0</v>
      </c>
      <c r="AJ14" s="10">
        <f t="shared" si="25"/>
        <v>0</v>
      </c>
      <c r="AK14" s="10">
        <f t="shared" si="26"/>
        <v>0</v>
      </c>
      <c r="AL14" s="10">
        <f>Podsumowanie!E$2-SUM(AN$5:AN13)+SUM(R14:R$42)-SUM(S14:S$42)</f>
        <v>400000</v>
      </c>
      <c r="AM14" s="10">
        <f t="shared" si="27"/>
        <v>0</v>
      </c>
      <c r="AN14" s="10">
        <f t="shared" si="28"/>
        <v>0</v>
      </c>
      <c r="AO14" s="10">
        <f t="shared" si="29"/>
        <v>0</v>
      </c>
      <c r="AP14" s="10">
        <f t="shared" si="30"/>
        <v>0</v>
      </c>
      <c r="AR14" s="43">
        <f t="shared" si="31"/>
        <v>37530</v>
      </c>
      <c r="AS14" s="11">
        <f>AS$5+SUM(AV$5:AV13)-SUM(X$5:X14)+SUM(W$5:W14)</f>
        <v>175916.96719148563</v>
      </c>
      <c r="AT14" s="10">
        <f t="shared" si="32"/>
        <v>0</v>
      </c>
      <c r="AU14" s="10">
        <f>IF(AB14=1,IF(Q14="tak",AT14,PMT(M14/12,P14+1-SUM(AB$5:AB14),AS14)),0)</f>
        <v>0</v>
      </c>
      <c r="AV14" s="10">
        <f t="shared" si="33"/>
        <v>0</v>
      </c>
      <c r="AW14" s="10">
        <f t="shared" si="34"/>
        <v>0</v>
      </c>
      <c r="AY14" s="11">
        <f>AY$5+SUM(BA$5:BA13)+SUM(W$5:W13)-SUM(X$5:X13)</f>
        <v>175916.96719148563</v>
      </c>
      <c r="AZ14" s="11">
        <f t="shared" si="35"/>
        <v>0</v>
      </c>
      <c r="BA14" s="11">
        <f t="shared" si="36"/>
        <v>0</v>
      </c>
      <c r="BB14" s="11">
        <f t="shared" si="37"/>
        <v>0</v>
      </c>
      <c r="BC14" s="11">
        <f t="shared" si="38"/>
        <v>0</v>
      </c>
      <c r="BE14" s="172">
        <f t="shared" si="4"/>
        <v>0.0768</v>
      </c>
      <c r="BF14" s="44">
        <f>BE14+Podsumowanie!$E$6</f>
        <v>0.08879999999999999</v>
      </c>
      <c r="BG14" s="11">
        <f>BG$5+SUM(BH$5:BH13)+SUM(R$5:R13)-SUM(S$5:S13)</f>
        <v>400000</v>
      </c>
      <c r="BH14" s="10">
        <f t="shared" si="39"/>
        <v>0</v>
      </c>
      <c r="BI14" s="10">
        <f t="shared" si="40"/>
        <v>0</v>
      </c>
      <c r="BJ14" s="10">
        <f>IF(U14&lt;0,PMT(BF14/12,Podsumowanie!E$8-SUM(AB$5:AB14)+1,BG14),0)</f>
        <v>0</v>
      </c>
      <c r="BL14" s="11">
        <f>BL$5+SUM(BN$5:BN13)+SUM(R$5:R13)-SUM(S$5:S13)</f>
        <v>400000</v>
      </c>
      <c r="BM14" s="11">
        <f t="shared" si="5"/>
        <v>0</v>
      </c>
      <c r="BN14" s="11">
        <f t="shared" si="6"/>
        <v>0</v>
      </c>
      <c r="BO14" s="11">
        <f t="shared" si="7"/>
        <v>0</v>
      </c>
      <c r="BQ14" s="44">
        <f t="shared" si="8"/>
        <v>0.08889999999999999</v>
      </c>
      <c r="BR14" s="11">
        <f>BR$5+SUM(BS$5:BS13)+SUM(R$5:R13)-SUM(S$5:S13)+SUM(BV$5:BV13)</f>
        <v>400000</v>
      </c>
      <c r="BS14" s="10">
        <f t="shared" si="46"/>
        <v>0</v>
      </c>
      <c r="BT14" s="10">
        <f t="shared" si="47"/>
        <v>0</v>
      </c>
      <c r="BU14" s="10">
        <f>IF(U14&lt;0,PMT(BQ14/12,Podsumowanie!E$8-SUM(AB$5:AB14)+1,BR14),0)</f>
        <v>0</v>
      </c>
      <c r="BV14" s="10">
        <f t="shared" si="41"/>
        <v>0</v>
      </c>
      <c r="BX14" s="11">
        <f>BX$5+SUM(BZ$5:BZ13)+SUM(R$5:R13)-SUM(S$5:S13)+SUM(CB$5,CB13)</f>
        <v>400000</v>
      </c>
      <c r="BY14" s="10">
        <f t="shared" si="9"/>
        <v>0</v>
      </c>
      <c r="BZ14" s="10">
        <f t="shared" si="10"/>
        <v>0</v>
      </c>
      <c r="CA14" s="10">
        <f t="shared" si="48"/>
        <v>0</v>
      </c>
      <c r="CB14" s="10">
        <f t="shared" si="49"/>
        <v>0</v>
      </c>
      <c r="CD14" s="10">
        <f>CD$5+SUM(CE$5:CE13)+SUM(R$5:R13)-SUM(S$5:S13)-SUM(CF$5:CF13)</f>
        <v>400000</v>
      </c>
      <c r="CE14" s="10">
        <f t="shared" si="42"/>
        <v>0</v>
      </c>
      <c r="CF14" s="10">
        <f t="shared" si="43"/>
        <v>0</v>
      </c>
      <c r="CG14" s="10">
        <f t="shared" si="44"/>
        <v>0</v>
      </c>
      <c r="CI14" s="44">
        <v>0.9701</v>
      </c>
      <c r="CJ14" s="10">
        <f t="shared" si="45"/>
        <v>0</v>
      </c>
      <c r="CK14" s="4">
        <f t="shared" si="50"/>
        <v>0</v>
      </c>
      <c r="CM14" s="10">
        <f t="shared" si="51"/>
        <v>0</v>
      </c>
      <c r="CN14" s="4">
        <f t="shared" si="52"/>
        <v>0</v>
      </c>
    </row>
    <row r="15" spans="1:92" ht="15.75">
      <c r="A15" s="36"/>
      <c r="B15" s="110">
        <v>37561</v>
      </c>
      <c r="C15" s="77">
        <f t="shared" si="1"/>
        <v>2.6983</v>
      </c>
      <c r="D15" s="78">
        <f>C15*(1+Podsumowanie!E$11)</f>
        <v>2.779249</v>
      </c>
      <c r="E15" s="34">
        <f t="shared" si="11"/>
        <v>0</v>
      </c>
      <c r="F15" s="7">
        <f t="shared" si="12"/>
        <v>0</v>
      </c>
      <c r="G15" s="7">
        <f t="shared" si="13"/>
        <v>0</v>
      </c>
      <c r="H15" s="7">
        <f t="shared" si="14"/>
        <v>0</v>
      </c>
      <c r="I15" s="32"/>
      <c r="J15" s="4" t="str">
        <f t="shared" si="15"/>
        <v xml:space="preserve"> </v>
      </c>
      <c r="K15" s="4">
        <f>IF(B15&lt;Podsumowanie!E$7,0,K14+1)</f>
        <v>0</v>
      </c>
      <c r="L15" s="100">
        <f t="shared" si="2"/>
        <v>0.007367</v>
      </c>
      <c r="M15" s="38">
        <f>L15+Podsumowanie!E$6</f>
        <v>0.019367000000000002</v>
      </c>
      <c r="N15" s="101">
        <f>MAX(Podsumowanie!E$4+SUM(AA$5:AA14)-SUM(X$5:X15)+SUM(W$5:W15),0)</f>
        <v>181357.6981355522</v>
      </c>
      <c r="O15" s="102">
        <f>MAX(Podsumowanie!E$2+SUM(V$5:V14)-SUM(S$5:S15)+SUM(R$5:R15),0)</f>
        <v>400000</v>
      </c>
      <c r="P15" s="39">
        <f t="shared" si="16"/>
        <v>360</v>
      </c>
      <c r="Q15" s="40" t="str">
        <f>IF(AND(K15&gt;0,K15&lt;=Podsumowanie!E$9),"tak","nie")</f>
        <v>nie</v>
      </c>
      <c r="R15" s="41"/>
      <c r="S15" s="42"/>
      <c r="T15" s="88">
        <f t="shared" si="17"/>
        <v>0</v>
      </c>
      <c r="U15" s="89">
        <f>IF(Q15="tak",T15,IF(P15-SUM(AB$5:AB15)+1&gt;0,IF(Podsumowanie!E$7&lt;B15,IF(SUM(AB$5:AB15)-Podsumowanie!E$9+1&gt;0,PMT(M15/12,P15+1-SUM(AB$5:AB15),O15),T15),0),0))</f>
        <v>0</v>
      </c>
      <c r="V15" s="89">
        <f t="shared" si="18"/>
        <v>0</v>
      </c>
      <c r="W15" s="90" t="str">
        <f>IF(R15&gt;0,R15/(C15*(1-Podsumowanie!E$11))," ")</f>
        <v xml:space="preserve"> </v>
      </c>
      <c r="X15" s="90">
        <f t="shared" si="19"/>
        <v>0</v>
      </c>
      <c r="Y15" s="91">
        <f t="shared" si="20"/>
        <v>0</v>
      </c>
      <c r="Z15" s="90">
        <f>IF(P15-SUM(AB$5:AB15)+1&gt;0,IF(Podsumowanie!E$7&lt;B15,IF(SUM(AB$5:AB15)-Podsumowanie!E$9+1&gt;0,PMT(M15/12,P15+1-SUM(AB$5:AB15),N15),Y15),0),0)</f>
        <v>0</v>
      </c>
      <c r="AA15" s="90">
        <f t="shared" si="21"/>
        <v>0</v>
      </c>
      <c r="AB15" s="8" t="str">
        <f>IF(AND(Podsumowanie!E$7&lt;B15,SUM(AB$5:AB14)&lt;P14),1," ")</f>
        <v xml:space="preserve"> </v>
      </c>
      <c r="AD15" s="51">
        <f>IF(OR(B15&lt;Podsumowanie!E$12,Podsumowanie!E$12=""),-F15+S15,0)</f>
        <v>0</v>
      </c>
      <c r="AE15" s="51">
        <f t="shared" si="22"/>
        <v>0</v>
      </c>
      <c r="AG15" s="10">
        <f>Podsumowanie!E$4-SUM(AI$5:AI14)+SUM(W15:W$42)-SUM(X15:X$42)</f>
        <v>181357.6981355522</v>
      </c>
      <c r="AH15" s="10">
        <f t="shared" si="23"/>
        <v>0</v>
      </c>
      <c r="AI15" s="10">
        <f t="shared" si="24"/>
        <v>0</v>
      </c>
      <c r="AJ15" s="10">
        <f t="shared" si="25"/>
        <v>0</v>
      </c>
      <c r="AK15" s="10">
        <f t="shared" si="26"/>
        <v>0</v>
      </c>
      <c r="AL15" s="10">
        <f>Podsumowanie!E$2-SUM(AN$5:AN14)+SUM(R15:R$42)-SUM(S15:S$42)</f>
        <v>400000</v>
      </c>
      <c r="AM15" s="10">
        <f t="shared" si="27"/>
        <v>0</v>
      </c>
      <c r="AN15" s="10">
        <f t="shared" si="28"/>
        <v>0</v>
      </c>
      <c r="AO15" s="10">
        <f t="shared" si="29"/>
        <v>0</v>
      </c>
      <c r="AP15" s="10">
        <f t="shared" si="30"/>
        <v>0</v>
      </c>
      <c r="AR15" s="43">
        <f t="shared" si="31"/>
        <v>37561</v>
      </c>
      <c r="AS15" s="11">
        <f>AS$5+SUM(AV$5:AV14)-SUM(X$5:X15)+SUM(W$5:W15)</f>
        <v>175916.96719148563</v>
      </c>
      <c r="AT15" s="10">
        <f t="shared" si="32"/>
        <v>0</v>
      </c>
      <c r="AU15" s="10">
        <f>IF(AB15=1,IF(Q15="tak",AT15,PMT(M15/12,P15+1-SUM(AB$5:AB15),AS15)),0)</f>
        <v>0</v>
      </c>
      <c r="AV15" s="10">
        <f t="shared" si="33"/>
        <v>0</v>
      </c>
      <c r="AW15" s="10">
        <f t="shared" si="34"/>
        <v>0</v>
      </c>
      <c r="AY15" s="11">
        <f>AY$5+SUM(BA$5:BA14)+SUM(W$5:W14)-SUM(X$5:X14)</f>
        <v>175916.96719148563</v>
      </c>
      <c r="AZ15" s="11">
        <f t="shared" si="35"/>
        <v>0</v>
      </c>
      <c r="BA15" s="11">
        <f t="shared" si="36"/>
        <v>0</v>
      </c>
      <c r="BB15" s="11">
        <f t="shared" si="37"/>
        <v>0</v>
      </c>
      <c r="BC15" s="11">
        <f t="shared" si="38"/>
        <v>0</v>
      </c>
      <c r="BE15" s="172">
        <f t="shared" si="4"/>
        <v>0.0703</v>
      </c>
      <c r="BF15" s="44">
        <f>BE15+Podsumowanie!$E$6</f>
        <v>0.0823</v>
      </c>
      <c r="BG15" s="11">
        <f>BG$5+SUM(BH$5:BH14)+SUM(R$5:R14)-SUM(S$5:S14)</f>
        <v>400000</v>
      </c>
      <c r="BH15" s="10">
        <f t="shared" si="39"/>
        <v>0</v>
      </c>
      <c r="BI15" s="10">
        <f t="shared" si="40"/>
        <v>0</v>
      </c>
      <c r="BJ15" s="10">
        <f>IF(U15&lt;0,PMT(BF15/12,Podsumowanie!E$8-SUM(AB$5:AB15)+1,BG15),0)</f>
        <v>0</v>
      </c>
      <c r="BL15" s="11">
        <f>BL$5+SUM(BN$5:BN14)+SUM(R$5:R14)-SUM(S$5:S14)</f>
        <v>400000</v>
      </c>
      <c r="BM15" s="11">
        <f t="shared" si="5"/>
        <v>0</v>
      </c>
      <c r="BN15" s="11">
        <f t="shared" si="6"/>
        <v>0</v>
      </c>
      <c r="BO15" s="11">
        <f t="shared" si="7"/>
        <v>0</v>
      </c>
      <c r="BQ15" s="44">
        <f t="shared" si="8"/>
        <v>0.0824</v>
      </c>
      <c r="BR15" s="11">
        <f>BR$5+SUM(BS$5:BS14)+SUM(R$5:R14)-SUM(S$5:S14)+SUM(BV$5:BV14)</f>
        <v>400000</v>
      </c>
      <c r="BS15" s="10">
        <f t="shared" si="46"/>
        <v>0</v>
      </c>
      <c r="BT15" s="10">
        <f t="shared" si="47"/>
        <v>0</v>
      </c>
      <c r="BU15" s="10">
        <f>IF(U15&lt;0,PMT(BQ15/12,Podsumowanie!E$8-SUM(AB$5:AB15)+1,BR15),0)</f>
        <v>0</v>
      </c>
      <c r="BV15" s="10">
        <f t="shared" si="41"/>
        <v>0</v>
      </c>
      <c r="BX15" s="11">
        <f>BX$5+SUM(BZ$5:BZ14)+SUM(R$5:R14)-SUM(S$5:S14)+SUM(CB$5,CB14)</f>
        <v>400000</v>
      </c>
      <c r="BY15" s="10">
        <f t="shared" si="9"/>
        <v>0</v>
      </c>
      <c r="BZ15" s="10">
        <f t="shared" si="10"/>
        <v>0</v>
      </c>
      <c r="CA15" s="10">
        <f t="shared" si="48"/>
        <v>0</v>
      </c>
      <c r="CB15" s="10">
        <f t="shared" si="49"/>
        <v>0</v>
      </c>
      <c r="CD15" s="10">
        <f>CD$5+SUM(CE$5:CE14)+SUM(R$5:R14)-SUM(S$5:S14)-SUM(CF$5:CF14)</f>
        <v>400000</v>
      </c>
      <c r="CE15" s="10">
        <f t="shared" si="42"/>
        <v>0</v>
      </c>
      <c r="CF15" s="10">
        <f t="shared" si="43"/>
        <v>0</v>
      </c>
      <c r="CG15" s="10">
        <f t="shared" si="44"/>
        <v>0</v>
      </c>
      <c r="CI15" s="44">
        <v>0.9642</v>
      </c>
      <c r="CJ15" s="10">
        <f t="shared" si="45"/>
        <v>0</v>
      </c>
      <c r="CK15" s="4">
        <f t="shared" si="50"/>
        <v>0</v>
      </c>
      <c r="CM15" s="10">
        <f t="shared" si="51"/>
        <v>0</v>
      </c>
      <c r="CN15" s="4">
        <f t="shared" si="52"/>
        <v>0</v>
      </c>
    </row>
    <row r="16" spans="1:92" ht="15.75">
      <c r="A16" s="36"/>
      <c r="B16" s="110">
        <v>37591</v>
      </c>
      <c r="C16" s="77">
        <f t="shared" si="1"/>
        <v>2.7182</v>
      </c>
      <c r="D16" s="78">
        <f>C16*(1+Podsumowanie!E$11)</f>
        <v>2.799746</v>
      </c>
      <c r="E16" s="34">
        <f t="shared" si="11"/>
        <v>0</v>
      </c>
      <c r="F16" s="7">
        <f t="shared" si="12"/>
        <v>0</v>
      </c>
      <c r="G16" s="7">
        <f t="shared" si="13"/>
        <v>0</v>
      </c>
      <c r="H16" s="7">
        <f t="shared" si="14"/>
        <v>0</v>
      </c>
      <c r="I16" s="32"/>
      <c r="J16" s="4" t="str">
        <f t="shared" si="15"/>
        <v xml:space="preserve"> </v>
      </c>
      <c r="K16" s="4">
        <f>IF(B16&lt;Podsumowanie!E$7,0,K15+1)</f>
        <v>0</v>
      </c>
      <c r="L16" s="100">
        <f t="shared" si="2"/>
        <v>0.007433</v>
      </c>
      <c r="M16" s="38">
        <f>L16+Podsumowanie!E$6</f>
        <v>0.019433</v>
      </c>
      <c r="N16" s="101">
        <f>MAX(Podsumowanie!E$4+SUM(AA$5:AA15)-SUM(X$5:X16)+SUM(W$5:W16),0)</f>
        <v>181357.6981355522</v>
      </c>
      <c r="O16" s="102">
        <f>MAX(Podsumowanie!E$2+SUM(V$5:V15)-SUM(S$5:S16)+SUM(R$5:R16),0)</f>
        <v>400000</v>
      </c>
      <c r="P16" s="39">
        <f t="shared" si="16"/>
        <v>360</v>
      </c>
      <c r="Q16" s="40" t="str">
        <f>IF(AND(K16&gt;0,K16&lt;=Podsumowanie!E$9),"tak","nie")</f>
        <v>nie</v>
      </c>
      <c r="R16" s="41"/>
      <c r="S16" s="42"/>
      <c r="T16" s="88">
        <f t="shared" si="17"/>
        <v>0</v>
      </c>
      <c r="U16" s="89">
        <f>IF(Q16="tak",T16,IF(P16-SUM(AB$5:AB16)+1&gt;0,IF(Podsumowanie!E$7&lt;B16,IF(SUM(AB$5:AB16)-Podsumowanie!E$9+1&gt;0,PMT(M16/12,P16+1-SUM(AB$5:AB16),O16),T16),0),0))</f>
        <v>0</v>
      </c>
      <c r="V16" s="89">
        <f t="shared" si="18"/>
        <v>0</v>
      </c>
      <c r="W16" s="90" t="str">
        <f>IF(R16&gt;0,R16/(C16*(1-Podsumowanie!E$11))," ")</f>
        <v xml:space="preserve"> </v>
      </c>
      <c r="X16" s="90">
        <f t="shared" si="19"/>
        <v>0</v>
      </c>
      <c r="Y16" s="91">
        <f t="shared" si="20"/>
        <v>0</v>
      </c>
      <c r="Z16" s="90">
        <f>IF(P16-SUM(AB$5:AB16)+1&gt;0,IF(Podsumowanie!E$7&lt;B16,IF(SUM(AB$5:AB16)-Podsumowanie!E$9+1&gt;0,PMT(M16/12,P16+1-SUM(AB$5:AB16),N16),Y16),0),0)</f>
        <v>0</v>
      </c>
      <c r="AA16" s="90">
        <f t="shared" si="21"/>
        <v>0</v>
      </c>
      <c r="AB16" s="8" t="str">
        <f>IF(AND(Podsumowanie!E$7&lt;B16,SUM(AB$5:AB15)&lt;P15),1," ")</f>
        <v xml:space="preserve"> </v>
      </c>
      <c r="AD16" s="51">
        <f>IF(OR(B16&lt;Podsumowanie!E$12,Podsumowanie!E$12=""),-F16+S16,0)</f>
        <v>0</v>
      </c>
      <c r="AE16" s="51">
        <f t="shared" si="22"/>
        <v>0</v>
      </c>
      <c r="AG16" s="10">
        <f>Podsumowanie!E$4-SUM(AI$5:AI15)+SUM(W16:W$42)-SUM(X16:X$42)</f>
        <v>181357.6981355522</v>
      </c>
      <c r="AH16" s="10">
        <f t="shared" si="23"/>
        <v>0</v>
      </c>
      <c r="AI16" s="10">
        <f t="shared" si="24"/>
        <v>0</v>
      </c>
      <c r="AJ16" s="10">
        <f t="shared" si="25"/>
        <v>0</v>
      </c>
      <c r="AK16" s="10">
        <f t="shared" si="26"/>
        <v>0</v>
      </c>
      <c r="AL16" s="10">
        <f>Podsumowanie!E$2-SUM(AN$5:AN15)+SUM(R16:R$42)-SUM(S16:S$42)</f>
        <v>400000</v>
      </c>
      <c r="AM16" s="10">
        <f t="shared" si="27"/>
        <v>0</v>
      </c>
      <c r="AN16" s="10">
        <f t="shared" si="28"/>
        <v>0</v>
      </c>
      <c r="AO16" s="10">
        <f t="shared" si="29"/>
        <v>0</v>
      </c>
      <c r="AP16" s="10">
        <f t="shared" si="30"/>
        <v>0</v>
      </c>
      <c r="AR16" s="43">
        <f t="shared" si="31"/>
        <v>37591</v>
      </c>
      <c r="AS16" s="11">
        <f>AS$5+SUM(AV$5:AV15)-SUM(X$5:X16)+SUM(W$5:W16)</f>
        <v>175916.96719148563</v>
      </c>
      <c r="AT16" s="10">
        <f t="shared" si="32"/>
        <v>0</v>
      </c>
      <c r="AU16" s="10">
        <f>IF(AB16=1,IF(Q16="tak",AT16,PMT(M16/12,P16+1-SUM(AB$5:AB16),AS16)),0)</f>
        <v>0</v>
      </c>
      <c r="AV16" s="10">
        <f t="shared" si="33"/>
        <v>0</v>
      </c>
      <c r="AW16" s="10">
        <f t="shared" si="34"/>
        <v>0</v>
      </c>
      <c r="AY16" s="11">
        <f>AY$5+SUM(BA$5:BA15)+SUM(W$5:W15)-SUM(X$5:X15)</f>
        <v>175916.96719148563</v>
      </c>
      <c r="AZ16" s="11">
        <f t="shared" si="35"/>
        <v>0</v>
      </c>
      <c r="BA16" s="11">
        <f t="shared" si="36"/>
        <v>0</v>
      </c>
      <c r="BB16" s="11">
        <f t="shared" si="37"/>
        <v>0</v>
      </c>
      <c r="BC16" s="11">
        <f t="shared" si="38"/>
        <v>0</v>
      </c>
      <c r="BE16" s="172">
        <f t="shared" si="4"/>
        <v>0.067</v>
      </c>
      <c r="BF16" s="44">
        <f>BE16+Podsumowanie!$E$6</f>
        <v>0.079</v>
      </c>
      <c r="BG16" s="11">
        <f>BG$5+SUM(BH$5:BH15)+SUM(R$5:R15)-SUM(S$5:S15)</f>
        <v>400000</v>
      </c>
      <c r="BH16" s="10">
        <f t="shared" si="39"/>
        <v>0</v>
      </c>
      <c r="BI16" s="10">
        <f t="shared" si="40"/>
        <v>0</v>
      </c>
      <c r="BJ16" s="10">
        <f>IF(U16&lt;0,PMT(BF16/12,Podsumowanie!E$8-SUM(AB$5:AB16)+1,BG16),0)</f>
        <v>0</v>
      </c>
      <c r="BL16" s="11">
        <f>BL$5+SUM(BN$5:BN15)+SUM(R$5:R15)-SUM(S$5:S15)</f>
        <v>400000</v>
      </c>
      <c r="BM16" s="11">
        <f t="shared" si="5"/>
        <v>0</v>
      </c>
      <c r="BN16" s="11">
        <f t="shared" si="6"/>
        <v>0</v>
      </c>
      <c r="BO16" s="11">
        <f t="shared" si="7"/>
        <v>0</v>
      </c>
      <c r="BQ16" s="44">
        <f t="shared" si="8"/>
        <v>0.0791</v>
      </c>
      <c r="BR16" s="11">
        <f>BR$5+SUM(BS$5:BS15)+SUM(R$5:R15)-SUM(S$5:S15)+SUM(BV$5:BV15)</f>
        <v>400000</v>
      </c>
      <c r="BS16" s="10">
        <f t="shared" si="46"/>
        <v>0</v>
      </c>
      <c r="BT16" s="10">
        <f t="shared" si="47"/>
        <v>0</v>
      </c>
      <c r="BU16" s="10">
        <f>IF(U16&lt;0,PMT(BQ16/12,Podsumowanie!E$8-SUM(AB$5:AB16)+1,BR16),0)</f>
        <v>0</v>
      </c>
      <c r="BV16" s="10">
        <f t="shared" si="41"/>
        <v>0</v>
      </c>
      <c r="BX16" s="11">
        <f>BX$5+SUM(BZ$5:BZ15)+SUM(R$5:R15)-SUM(S$5:S15)+SUM(CB$5,CB15)</f>
        <v>400000</v>
      </c>
      <c r="BY16" s="10">
        <f t="shared" si="9"/>
        <v>0</v>
      </c>
      <c r="BZ16" s="10">
        <f t="shared" si="10"/>
        <v>0</v>
      </c>
      <c r="CA16" s="10">
        <f t="shared" si="48"/>
        <v>0</v>
      </c>
      <c r="CB16" s="10">
        <f t="shared" si="49"/>
        <v>0</v>
      </c>
      <c r="CD16" s="10">
        <f>CD$5+SUM(CE$5:CE15)+SUM(R$5:R15)-SUM(S$5:S15)-SUM(CF$5:CF15)</f>
        <v>400000</v>
      </c>
      <c r="CE16" s="10">
        <f t="shared" si="42"/>
        <v>0</v>
      </c>
      <c r="CF16" s="10">
        <f t="shared" si="43"/>
        <v>0</v>
      </c>
      <c r="CG16" s="10">
        <f t="shared" si="44"/>
        <v>0</v>
      </c>
      <c r="CI16" s="44">
        <v>0.9661</v>
      </c>
      <c r="CJ16" s="10">
        <f t="shared" si="45"/>
        <v>0</v>
      </c>
      <c r="CK16" s="4">
        <f t="shared" si="50"/>
        <v>0</v>
      </c>
      <c r="CM16" s="10">
        <f t="shared" si="51"/>
        <v>0</v>
      </c>
      <c r="CN16" s="4">
        <f t="shared" si="52"/>
        <v>0</v>
      </c>
    </row>
    <row r="17" spans="1:92" ht="15.75">
      <c r="A17" s="36">
        <v>2003</v>
      </c>
      <c r="B17" s="109">
        <v>37622</v>
      </c>
      <c r="C17" s="77">
        <f t="shared" si="1"/>
        <v>2.7816</v>
      </c>
      <c r="D17" s="78">
        <f>C17*(1+Podsumowanie!E$11)</f>
        <v>2.8650480000000003</v>
      </c>
      <c r="E17" s="34">
        <f t="shared" si="11"/>
        <v>0</v>
      </c>
      <c r="F17" s="7">
        <f t="shared" si="12"/>
        <v>0</v>
      </c>
      <c r="G17" s="7">
        <f t="shared" si="13"/>
        <v>0</v>
      </c>
      <c r="H17" s="7">
        <f t="shared" si="14"/>
        <v>0</v>
      </c>
      <c r="I17" s="32"/>
      <c r="J17" s="4" t="str">
        <f t="shared" si="15"/>
        <v xml:space="preserve"> </v>
      </c>
      <c r="K17" s="4">
        <f>IF(B17&lt;Podsumowanie!E$7,0,K16+1)</f>
        <v>0</v>
      </c>
      <c r="L17" s="100">
        <f t="shared" si="2"/>
        <v>0.006017</v>
      </c>
      <c r="M17" s="38">
        <f>L17+Podsumowanie!E$6</f>
        <v>0.018017</v>
      </c>
      <c r="N17" s="101">
        <f>MAX(Podsumowanie!E$4+SUM(AA$5:AA16)-SUM(X$5:X17)+SUM(W$5:W17),0)</f>
        <v>181357.6981355522</v>
      </c>
      <c r="O17" s="102">
        <f>MAX(Podsumowanie!E$2+SUM(V$5:V16)-SUM(S$5:S17)+SUM(R$5:R17),0)</f>
        <v>400000</v>
      </c>
      <c r="P17" s="39">
        <f t="shared" si="16"/>
        <v>360</v>
      </c>
      <c r="Q17" s="40" t="str">
        <f>IF(AND(K17&gt;0,K17&lt;=Podsumowanie!E$9),"tak","nie")</f>
        <v>nie</v>
      </c>
      <c r="R17" s="41"/>
      <c r="S17" s="42"/>
      <c r="T17" s="88">
        <f t="shared" si="17"/>
        <v>0</v>
      </c>
      <c r="U17" s="89">
        <f>IF(Q17="tak",T17,IF(P17-SUM(AB$5:AB17)+1&gt;0,IF(Podsumowanie!E$7&lt;B17,IF(SUM(AB$5:AB17)-Podsumowanie!E$9+1&gt;0,PMT(M17/12,P17+1-SUM(AB$5:AB17),O17),T17),0),0))</f>
        <v>0</v>
      </c>
      <c r="V17" s="89">
        <f t="shared" si="18"/>
        <v>0</v>
      </c>
      <c r="W17" s="90" t="str">
        <f>IF(R17&gt;0,R17/(C17*(1-Podsumowanie!E$11))," ")</f>
        <v xml:space="preserve"> </v>
      </c>
      <c r="X17" s="90">
        <f t="shared" si="19"/>
        <v>0</v>
      </c>
      <c r="Y17" s="91">
        <f t="shared" si="20"/>
        <v>0</v>
      </c>
      <c r="Z17" s="90">
        <f>IF(P17-SUM(AB$5:AB17)+1&gt;0,IF(Podsumowanie!E$7&lt;B17,IF(SUM(AB$5:AB17)-Podsumowanie!E$9+1&gt;0,PMT(M17/12,P17+1-SUM(AB$5:AB17),N17),Y17),0),0)</f>
        <v>0</v>
      </c>
      <c r="AA17" s="90">
        <f t="shared" si="21"/>
        <v>0</v>
      </c>
      <c r="AB17" s="8" t="str">
        <f>IF(AND(Podsumowanie!E$7&lt;B17,SUM(AB$5:AB16)&lt;P16),1," ")</f>
        <v xml:space="preserve"> </v>
      </c>
      <c r="AD17" s="51">
        <f>IF(OR(B17&lt;Podsumowanie!E$12,Podsumowanie!E$12=""),-F17+S17,0)</f>
        <v>0</v>
      </c>
      <c r="AE17" s="51">
        <f t="shared" si="22"/>
        <v>0</v>
      </c>
      <c r="AG17" s="10">
        <f>Podsumowanie!E$4-SUM(AI$5:AI16)+SUM(W17:W$42)-SUM(X17:X$42)</f>
        <v>181357.6981355522</v>
      </c>
      <c r="AH17" s="10">
        <f t="shared" si="23"/>
        <v>0</v>
      </c>
      <c r="AI17" s="10">
        <f t="shared" si="24"/>
        <v>0</v>
      </c>
      <c r="AJ17" s="10">
        <f t="shared" si="25"/>
        <v>0</v>
      </c>
      <c r="AK17" s="10">
        <f t="shared" si="26"/>
        <v>0</v>
      </c>
      <c r="AL17" s="10">
        <f>Podsumowanie!E$2-SUM(AN$5:AN16)+SUM(R17:R$42)-SUM(S17:S$42)</f>
        <v>400000</v>
      </c>
      <c r="AM17" s="10">
        <f t="shared" si="27"/>
        <v>0</v>
      </c>
      <c r="AN17" s="10">
        <f t="shared" si="28"/>
        <v>0</v>
      </c>
      <c r="AO17" s="10">
        <f t="shared" si="29"/>
        <v>0</v>
      </c>
      <c r="AP17" s="10">
        <f t="shared" si="30"/>
        <v>0</v>
      </c>
      <c r="AR17" s="43">
        <f t="shared" si="31"/>
        <v>37622</v>
      </c>
      <c r="AS17" s="11">
        <f>AS$5+SUM(AV$5:AV16)-SUM(X$5:X17)+SUM(W$5:W17)</f>
        <v>175916.96719148563</v>
      </c>
      <c r="AT17" s="10">
        <f t="shared" si="32"/>
        <v>0</v>
      </c>
      <c r="AU17" s="10">
        <f>IF(AB17=1,IF(Q17="tak",AT17,PMT(M17/12,P17+1-SUM(AB$5:AB17),AS17)),0)</f>
        <v>0</v>
      </c>
      <c r="AV17" s="10">
        <f t="shared" si="33"/>
        <v>0</v>
      </c>
      <c r="AW17" s="10">
        <f t="shared" si="34"/>
        <v>0</v>
      </c>
      <c r="AY17" s="11">
        <f>AY$5+SUM(BA$5:BA16)+SUM(W$5:W16)-SUM(X$5:X16)</f>
        <v>175916.96719148563</v>
      </c>
      <c r="AZ17" s="11">
        <f t="shared" si="35"/>
        <v>0</v>
      </c>
      <c r="BA17" s="11">
        <f t="shared" si="36"/>
        <v>0</v>
      </c>
      <c r="BB17" s="11">
        <f t="shared" si="37"/>
        <v>0</v>
      </c>
      <c r="BC17" s="11">
        <f t="shared" si="38"/>
        <v>0</v>
      </c>
      <c r="BE17" s="172">
        <f t="shared" si="4"/>
        <v>0.0678</v>
      </c>
      <c r="BF17" s="44">
        <f>BE17+Podsumowanie!$E$6</f>
        <v>0.0798</v>
      </c>
      <c r="BG17" s="11">
        <f>BG$5+SUM(BH$5:BH16)+SUM(R$5:R16)-SUM(S$5:S16)</f>
        <v>400000</v>
      </c>
      <c r="BH17" s="10">
        <f t="shared" si="39"/>
        <v>0</v>
      </c>
      <c r="BI17" s="10">
        <f t="shared" si="40"/>
        <v>0</v>
      </c>
      <c r="BJ17" s="10">
        <f>IF(U17&lt;0,PMT(BF17/12,Podsumowanie!E$8-SUM(AB$5:AB17)+1,BG17),0)</f>
        <v>0</v>
      </c>
      <c r="BL17" s="11">
        <f>BL$5+SUM(BN$5:BN16)+SUM(R$5:R16)-SUM(S$5:S16)</f>
        <v>400000</v>
      </c>
      <c r="BM17" s="11">
        <f t="shared" si="5"/>
        <v>0</v>
      </c>
      <c r="BN17" s="11">
        <f t="shared" si="6"/>
        <v>0</v>
      </c>
      <c r="BO17" s="11">
        <f t="shared" si="7"/>
        <v>0</v>
      </c>
      <c r="BQ17" s="44">
        <f t="shared" si="8"/>
        <v>0.0799</v>
      </c>
      <c r="BR17" s="11">
        <f>BR$5+SUM(BS$5:BS16)+SUM(R$5:R16)-SUM(S$5:S16)+SUM(BV$5:BV16)</f>
        <v>400000</v>
      </c>
      <c r="BS17" s="10">
        <f t="shared" si="46"/>
        <v>0</v>
      </c>
      <c r="BT17" s="10">
        <f t="shared" si="47"/>
        <v>0</v>
      </c>
      <c r="BU17" s="10">
        <f>IF(U17&lt;0,PMT(BQ17/12,Podsumowanie!E$8-SUM(AB$5:AB17)+1,BR17),0)</f>
        <v>0</v>
      </c>
      <c r="BV17" s="10">
        <f t="shared" si="41"/>
        <v>0</v>
      </c>
      <c r="BX17" s="11">
        <f>BX$5+SUM(BZ$5:BZ16)+SUM(R$5:R16)-SUM(S$5:S16)+SUM(CB$5,CB16)</f>
        <v>400000</v>
      </c>
      <c r="BY17" s="10">
        <f t="shared" si="9"/>
        <v>0</v>
      </c>
      <c r="BZ17" s="10">
        <f t="shared" si="10"/>
        <v>0</v>
      </c>
      <c r="CA17" s="10">
        <f t="shared" si="48"/>
        <v>0</v>
      </c>
      <c r="CB17" s="10">
        <f t="shared" si="49"/>
        <v>0</v>
      </c>
      <c r="CD17" s="10">
        <f>CD$5+SUM(CE$5:CE16)+SUM(R$5:R16)-SUM(S$5:S16)-SUM(CF$5:CF16)</f>
        <v>400000</v>
      </c>
      <c r="CE17" s="10">
        <f t="shared" si="42"/>
        <v>0</v>
      </c>
      <c r="CF17" s="10">
        <f t="shared" si="43"/>
        <v>0</v>
      </c>
      <c r="CG17" s="10">
        <f t="shared" si="44"/>
        <v>0</v>
      </c>
      <c r="CI17" s="44">
        <v>0.9642</v>
      </c>
      <c r="CJ17" s="10">
        <f t="shared" si="45"/>
        <v>0</v>
      </c>
      <c r="CK17" s="4">
        <f t="shared" si="50"/>
        <v>0</v>
      </c>
      <c r="CM17" s="10">
        <f t="shared" si="51"/>
        <v>0</v>
      </c>
      <c r="CN17" s="4">
        <f t="shared" si="52"/>
        <v>0</v>
      </c>
    </row>
    <row r="18" spans="1:92" ht="15.75">
      <c r="A18" s="36"/>
      <c r="B18" s="110">
        <v>37653</v>
      </c>
      <c r="C18" s="77">
        <f t="shared" si="1"/>
        <v>2.8381</v>
      </c>
      <c r="D18" s="78">
        <f>C18*(1+Podsumowanie!E$11)</f>
        <v>2.923243</v>
      </c>
      <c r="E18" s="34">
        <f t="shared" si="11"/>
        <v>0</v>
      </c>
      <c r="F18" s="7">
        <f t="shared" si="12"/>
        <v>0</v>
      </c>
      <c r="G18" s="7">
        <f t="shared" si="13"/>
        <v>0</v>
      </c>
      <c r="H18" s="7">
        <f t="shared" si="14"/>
        <v>0</v>
      </c>
      <c r="I18" s="32"/>
      <c r="J18" s="4" t="str">
        <f t="shared" si="15"/>
        <v xml:space="preserve"> </v>
      </c>
      <c r="K18" s="4">
        <f>IF(B18&lt;Podsumowanie!E$7,0,K17+1)</f>
        <v>0</v>
      </c>
      <c r="L18" s="100">
        <f t="shared" si="2"/>
        <v>0.006067</v>
      </c>
      <c r="M18" s="38">
        <f>L18+Podsumowanie!E$6</f>
        <v>0.018067</v>
      </c>
      <c r="N18" s="101">
        <f>MAX(Podsumowanie!E$4+SUM(AA$5:AA17)-SUM(X$5:X18)+SUM(W$5:W18),0)</f>
        <v>181357.6981355522</v>
      </c>
      <c r="O18" s="102">
        <f>MAX(Podsumowanie!E$2+SUM(V$5:V17)-SUM(S$5:S18)+SUM(R$5:R18),0)</f>
        <v>400000</v>
      </c>
      <c r="P18" s="39">
        <f t="shared" si="16"/>
        <v>360</v>
      </c>
      <c r="Q18" s="40" t="str">
        <f>IF(AND(K18&gt;0,K18&lt;=Podsumowanie!E$9),"tak","nie")</f>
        <v>nie</v>
      </c>
      <c r="R18" s="41"/>
      <c r="S18" s="42"/>
      <c r="T18" s="88">
        <f t="shared" si="17"/>
        <v>0</v>
      </c>
      <c r="U18" s="89">
        <f>IF(Q18="tak",T18,IF(P18-SUM(AB$5:AB18)+1&gt;0,IF(Podsumowanie!E$7&lt;B18,IF(SUM(AB$5:AB18)-Podsumowanie!E$9+1&gt;0,PMT(M18/12,P18+1-SUM(AB$5:AB18),O18),T18),0),0))</f>
        <v>0</v>
      </c>
      <c r="V18" s="89">
        <f t="shared" si="18"/>
        <v>0</v>
      </c>
      <c r="W18" s="90" t="str">
        <f>IF(R18&gt;0,R18/(C18*(1-Podsumowanie!E$11))," ")</f>
        <v xml:space="preserve"> </v>
      </c>
      <c r="X18" s="90">
        <f t="shared" si="19"/>
        <v>0</v>
      </c>
      <c r="Y18" s="91">
        <f t="shared" si="20"/>
        <v>0</v>
      </c>
      <c r="Z18" s="90">
        <f>IF(P18-SUM(AB$5:AB18)+1&gt;0,IF(Podsumowanie!E$7&lt;B18,IF(SUM(AB$5:AB18)-Podsumowanie!E$9+1&gt;0,PMT(M18/12,P18+1-SUM(AB$5:AB18),N18),Y18),0),0)</f>
        <v>0</v>
      </c>
      <c r="AA18" s="90">
        <f t="shared" si="21"/>
        <v>0</v>
      </c>
      <c r="AB18" s="8" t="str">
        <f>IF(AND(Podsumowanie!E$7&lt;B18,SUM(AB$5:AB17)&lt;P17),1," ")</f>
        <v xml:space="preserve"> </v>
      </c>
      <c r="AD18" s="51">
        <f>IF(OR(B18&lt;Podsumowanie!E$12,Podsumowanie!E$12=""),-F18+S18,0)</f>
        <v>0</v>
      </c>
      <c r="AE18" s="51">
        <f t="shared" si="22"/>
        <v>0</v>
      </c>
      <c r="AG18" s="10">
        <f>Podsumowanie!E$4-SUM(AI$5:AI17)+SUM(W18:W$42)-SUM(X18:X$42)</f>
        <v>181357.6981355522</v>
      </c>
      <c r="AH18" s="10">
        <f t="shared" si="23"/>
        <v>0</v>
      </c>
      <c r="AI18" s="10">
        <f t="shared" si="24"/>
        <v>0</v>
      </c>
      <c r="AJ18" s="10">
        <f t="shared" si="25"/>
        <v>0</v>
      </c>
      <c r="AK18" s="10">
        <f t="shared" si="26"/>
        <v>0</v>
      </c>
      <c r="AL18" s="10">
        <f>Podsumowanie!E$2-SUM(AN$5:AN17)+SUM(R18:R$42)-SUM(S18:S$42)</f>
        <v>400000</v>
      </c>
      <c r="AM18" s="10">
        <f t="shared" si="27"/>
        <v>0</v>
      </c>
      <c r="AN18" s="10">
        <f t="shared" si="28"/>
        <v>0</v>
      </c>
      <c r="AO18" s="10">
        <f t="shared" si="29"/>
        <v>0</v>
      </c>
      <c r="AP18" s="10">
        <f t="shared" si="30"/>
        <v>0</v>
      </c>
      <c r="AR18" s="43">
        <f t="shared" si="31"/>
        <v>37653</v>
      </c>
      <c r="AS18" s="11">
        <f>AS$5+SUM(AV$5:AV17)-SUM(X$5:X18)+SUM(W$5:W18)</f>
        <v>175916.96719148563</v>
      </c>
      <c r="AT18" s="10">
        <f t="shared" si="32"/>
        <v>0</v>
      </c>
      <c r="AU18" s="10">
        <f>IF(AB18=1,IF(Q18="tak",AT18,PMT(M18/12,P18+1-SUM(AB$5:AB18),AS18)),0)</f>
        <v>0</v>
      </c>
      <c r="AV18" s="10">
        <f t="shared" si="33"/>
        <v>0</v>
      </c>
      <c r="AW18" s="10">
        <f t="shared" si="34"/>
        <v>0</v>
      </c>
      <c r="AY18" s="11">
        <f>AY$5+SUM(BA$5:BA17)+SUM(W$5:W17)-SUM(X$5:X17)</f>
        <v>175916.96719148563</v>
      </c>
      <c r="AZ18" s="11">
        <f t="shared" si="35"/>
        <v>0</v>
      </c>
      <c r="BA18" s="11">
        <f t="shared" si="36"/>
        <v>0</v>
      </c>
      <c r="BB18" s="11">
        <f t="shared" si="37"/>
        <v>0</v>
      </c>
      <c r="BC18" s="11">
        <f t="shared" si="38"/>
        <v>0</v>
      </c>
      <c r="BE18" s="172">
        <f t="shared" si="4"/>
        <v>0.0644</v>
      </c>
      <c r="BF18" s="44">
        <f>BE18+Podsumowanie!$E$6</f>
        <v>0.0764</v>
      </c>
      <c r="BG18" s="11">
        <f>BG$5+SUM(BH$5:BH17)+SUM(R$5:R17)-SUM(S$5:S17)</f>
        <v>400000</v>
      </c>
      <c r="BH18" s="10">
        <f t="shared" si="39"/>
        <v>0</v>
      </c>
      <c r="BI18" s="10">
        <f t="shared" si="40"/>
        <v>0</v>
      </c>
      <c r="BJ18" s="10">
        <f>IF(U18&lt;0,PMT(BF18/12,Podsumowanie!E$8-SUM(AB$5:AB18)+1,BG18),0)</f>
        <v>0</v>
      </c>
      <c r="BL18" s="11">
        <f>BL$5+SUM(BN$5:BN17)+SUM(R$5:R17)-SUM(S$5:S17)</f>
        <v>400000</v>
      </c>
      <c r="BM18" s="11">
        <f t="shared" si="5"/>
        <v>0</v>
      </c>
      <c r="BN18" s="11">
        <f t="shared" si="6"/>
        <v>0</v>
      </c>
      <c r="BO18" s="11">
        <f t="shared" si="7"/>
        <v>0</v>
      </c>
      <c r="BQ18" s="44">
        <f t="shared" si="8"/>
        <v>0.0765</v>
      </c>
      <c r="BR18" s="11">
        <f>BR$5+SUM(BS$5:BS17)+SUM(R$5:R17)-SUM(S$5:S17)+SUM(BV$5:BV17)</f>
        <v>400000</v>
      </c>
      <c r="BS18" s="10">
        <f t="shared" si="46"/>
        <v>0</v>
      </c>
      <c r="BT18" s="10">
        <f t="shared" si="47"/>
        <v>0</v>
      </c>
      <c r="BU18" s="10">
        <f>IF(U18&lt;0,PMT(BQ18/12,Podsumowanie!E$8-SUM(AB$5:AB18)+1,BR18),0)</f>
        <v>0</v>
      </c>
      <c r="BV18" s="10">
        <f t="shared" si="41"/>
        <v>0</v>
      </c>
      <c r="BX18" s="11">
        <f>BX$5+SUM(BZ$5:BZ17)+SUM(R$5:R17)-SUM(S$5:S17)+SUM(CB$5,CB17)</f>
        <v>400000</v>
      </c>
      <c r="BY18" s="10">
        <f t="shared" si="9"/>
        <v>0</v>
      </c>
      <c r="BZ18" s="10">
        <f t="shared" si="10"/>
        <v>0</v>
      </c>
      <c r="CA18" s="10">
        <f t="shared" si="48"/>
        <v>0</v>
      </c>
      <c r="CB18" s="10">
        <f t="shared" si="49"/>
        <v>0</v>
      </c>
      <c r="CD18" s="10">
        <f>CD$5+SUM(CE$5:CE17)+SUM(R$5:R17)-SUM(S$5:S17)-SUM(CF$5:CF17)</f>
        <v>400000</v>
      </c>
      <c r="CE18" s="10">
        <f t="shared" si="42"/>
        <v>0</v>
      </c>
      <c r="CF18" s="10">
        <f t="shared" si="43"/>
        <v>0</v>
      </c>
      <c r="CG18" s="10">
        <f t="shared" si="44"/>
        <v>0</v>
      </c>
      <c r="CI18" s="44">
        <v>0.9563</v>
      </c>
      <c r="CJ18" s="10">
        <f t="shared" si="45"/>
        <v>0</v>
      </c>
      <c r="CK18" s="4">
        <f t="shared" si="50"/>
        <v>0</v>
      </c>
      <c r="CM18" s="10">
        <f t="shared" si="51"/>
        <v>0</v>
      </c>
      <c r="CN18" s="4">
        <f t="shared" si="52"/>
        <v>0</v>
      </c>
    </row>
    <row r="19" spans="1:92" ht="15.75">
      <c r="A19" s="36"/>
      <c r="B19" s="110">
        <v>37681</v>
      </c>
      <c r="C19" s="77">
        <f t="shared" si="1"/>
        <v>2.9426</v>
      </c>
      <c r="D19" s="78">
        <f>C19*(1+Podsumowanie!E$11)</f>
        <v>3.0308780000000004</v>
      </c>
      <c r="E19" s="34">
        <f t="shared" si="11"/>
        <v>0</v>
      </c>
      <c r="F19" s="7">
        <f t="shared" si="12"/>
        <v>0</v>
      </c>
      <c r="G19" s="7">
        <f t="shared" si="13"/>
        <v>0</v>
      </c>
      <c r="H19" s="7">
        <f t="shared" si="14"/>
        <v>0</v>
      </c>
      <c r="I19" s="32"/>
      <c r="J19" s="4" t="str">
        <f t="shared" si="15"/>
        <v xml:space="preserve"> </v>
      </c>
      <c r="K19" s="4">
        <f>IF(B19&lt;Podsumowanie!E$7,0,K18+1)</f>
        <v>0</v>
      </c>
      <c r="L19" s="100">
        <f t="shared" si="2"/>
        <v>0.005733</v>
      </c>
      <c r="M19" s="38">
        <f>L19+Podsumowanie!E$6</f>
        <v>0.017733</v>
      </c>
      <c r="N19" s="101">
        <f>MAX(Podsumowanie!E$4+SUM(AA$5:AA18)-SUM(X$5:X19)+SUM(W$5:W19),0)</f>
        <v>181357.6981355522</v>
      </c>
      <c r="O19" s="102">
        <f>MAX(Podsumowanie!E$2+SUM(V$5:V18)-SUM(S$5:S19)+SUM(R$5:R19),0)</f>
        <v>400000</v>
      </c>
      <c r="P19" s="39">
        <f t="shared" si="16"/>
        <v>360</v>
      </c>
      <c r="Q19" s="40" t="str">
        <f>IF(AND(K19&gt;0,K19&lt;=Podsumowanie!E$9),"tak","nie")</f>
        <v>nie</v>
      </c>
      <c r="R19" s="41"/>
      <c r="S19" s="42"/>
      <c r="T19" s="88">
        <f t="shared" si="17"/>
        <v>0</v>
      </c>
      <c r="U19" s="89">
        <f>IF(Q19="tak",T19,IF(P19-SUM(AB$5:AB19)+1&gt;0,IF(Podsumowanie!E$7&lt;B19,IF(SUM(AB$5:AB19)-Podsumowanie!E$9+1&gt;0,PMT(M19/12,P19+1-SUM(AB$5:AB19),O19),T19),0),0))</f>
        <v>0</v>
      </c>
      <c r="V19" s="89">
        <f t="shared" si="18"/>
        <v>0</v>
      </c>
      <c r="W19" s="90" t="str">
        <f>IF(R19&gt;0,R19/(C19*(1-Podsumowanie!E$11))," ")</f>
        <v xml:space="preserve"> </v>
      </c>
      <c r="X19" s="90">
        <f t="shared" si="19"/>
        <v>0</v>
      </c>
      <c r="Y19" s="91">
        <f t="shared" si="20"/>
        <v>0</v>
      </c>
      <c r="Z19" s="90">
        <f>IF(P19-SUM(AB$5:AB19)+1&gt;0,IF(Podsumowanie!E$7&lt;B19,IF(SUM(AB$5:AB19)-Podsumowanie!E$9+1&gt;0,PMT(M19/12,P19+1-SUM(AB$5:AB19),N19),Y19),0),0)</f>
        <v>0</v>
      </c>
      <c r="AA19" s="90">
        <f t="shared" si="21"/>
        <v>0</v>
      </c>
      <c r="AB19" s="8" t="str">
        <f>IF(AND(Podsumowanie!E$7&lt;B19,SUM(AB$5:AB18)&lt;P18),1," ")</f>
        <v xml:space="preserve"> </v>
      </c>
      <c r="AD19" s="51">
        <f>IF(OR(B19&lt;Podsumowanie!E$12,Podsumowanie!E$12=""),-F19+S19,0)</f>
        <v>0</v>
      </c>
      <c r="AE19" s="51">
        <f t="shared" si="22"/>
        <v>0</v>
      </c>
      <c r="AG19" s="10">
        <f>Podsumowanie!E$4-SUM(AI$5:AI18)+SUM(W19:W$42)-SUM(X19:X$42)</f>
        <v>181357.6981355522</v>
      </c>
      <c r="AH19" s="10">
        <f t="shared" si="23"/>
        <v>0</v>
      </c>
      <c r="AI19" s="10">
        <f t="shared" si="24"/>
        <v>0</v>
      </c>
      <c r="AJ19" s="10">
        <f t="shared" si="25"/>
        <v>0</v>
      </c>
      <c r="AK19" s="10">
        <f t="shared" si="26"/>
        <v>0</v>
      </c>
      <c r="AL19" s="10">
        <f>Podsumowanie!E$2-SUM(AN$5:AN18)+SUM(R19:R$42)-SUM(S19:S$42)</f>
        <v>400000</v>
      </c>
      <c r="AM19" s="10">
        <f t="shared" si="27"/>
        <v>0</v>
      </c>
      <c r="AN19" s="10">
        <f t="shared" si="28"/>
        <v>0</v>
      </c>
      <c r="AO19" s="10">
        <f t="shared" si="29"/>
        <v>0</v>
      </c>
      <c r="AP19" s="10">
        <f t="shared" si="30"/>
        <v>0</v>
      </c>
      <c r="AR19" s="43">
        <f t="shared" si="31"/>
        <v>37681</v>
      </c>
      <c r="AS19" s="11">
        <f>AS$5+SUM(AV$5:AV18)-SUM(X$5:X19)+SUM(W$5:W19)</f>
        <v>175916.96719148563</v>
      </c>
      <c r="AT19" s="10">
        <f t="shared" si="32"/>
        <v>0</v>
      </c>
      <c r="AU19" s="10">
        <f>IF(AB19=1,IF(Q19="tak",AT19,PMT(M19/12,P19+1-SUM(AB$5:AB19),AS19)),0)</f>
        <v>0</v>
      </c>
      <c r="AV19" s="10">
        <f t="shared" si="33"/>
        <v>0</v>
      </c>
      <c r="AW19" s="10">
        <f t="shared" si="34"/>
        <v>0</v>
      </c>
      <c r="AY19" s="11">
        <f>AY$5+SUM(BA$5:BA18)+SUM(W$5:W18)-SUM(X$5:X18)</f>
        <v>175916.96719148563</v>
      </c>
      <c r="AZ19" s="11">
        <f t="shared" si="35"/>
        <v>0</v>
      </c>
      <c r="BA19" s="11">
        <f t="shared" si="36"/>
        <v>0</v>
      </c>
      <c r="BB19" s="11">
        <f t="shared" si="37"/>
        <v>0</v>
      </c>
      <c r="BC19" s="11">
        <f t="shared" si="38"/>
        <v>0</v>
      </c>
      <c r="BE19" s="172">
        <f t="shared" si="4"/>
        <v>0.0628</v>
      </c>
      <c r="BF19" s="44">
        <f>BE19+Podsumowanie!$E$6</f>
        <v>0.07479999999999999</v>
      </c>
      <c r="BG19" s="11">
        <f>BG$5+SUM(BH$5:BH18)+SUM(R$5:R18)-SUM(S$5:S18)</f>
        <v>400000</v>
      </c>
      <c r="BH19" s="10">
        <f t="shared" si="39"/>
        <v>0</v>
      </c>
      <c r="BI19" s="10">
        <f t="shared" si="40"/>
        <v>0</v>
      </c>
      <c r="BJ19" s="10">
        <f>IF(U19&lt;0,PMT(BF19/12,Podsumowanie!E$8-SUM(AB$5:AB19)+1,BG19),0)</f>
        <v>0</v>
      </c>
      <c r="BL19" s="11">
        <f>BL$5+SUM(BN$5:BN18)+SUM(R$5:R18)-SUM(S$5:S18)</f>
        <v>400000</v>
      </c>
      <c r="BM19" s="11">
        <f t="shared" si="5"/>
        <v>0</v>
      </c>
      <c r="BN19" s="11">
        <f t="shared" si="6"/>
        <v>0</v>
      </c>
      <c r="BO19" s="11">
        <f t="shared" si="7"/>
        <v>0</v>
      </c>
      <c r="BQ19" s="44">
        <f t="shared" si="8"/>
        <v>0.0749</v>
      </c>
      <c r="BR19" s="11">
        <f>BR$5+SUM(BS$5:BS18)+SUM(R$5:R18)-SUM(S$5:S18)+SUM(BV$5:BV18)</f>
        <v>400000</v>
      </c>
      <c r="BS19" s="10">
        <f t="shared" si="46"/>
        <v>0</v>
      </c>
      <c r="BT19" s="10">
        <f t="shared" si="47"/>
        <v>0</v>
      </c>
      <c r="BU19" s="10">
        <f>IF(U19&lt;0,PMT(BQ19/12,Podsumowanie!E$8-SUM(AB$5:AB19)+1,BR19),0)</f>
        <v>0</v>
      </c>
      <c r="BV19" s="10">
        <f t="shared" si="41"/>
        <v>0</v>
      </c>
      <c r="BX19" s="11">
        <f>BX$5+SUM(BZ$5:BZ18)+SUM(R$5:R18)-SUM(S$5:S18)+SUM(CB$5,CB18)</f>
        <v>400000</v>
      </c>
      <c r="BY19" s="10">
        <f t="shared" si="9"/>
        <v>0</v>
      </c>
      <c r="BZ19" s="10">
        <f t="shared" si="10"/>
        <v>0</v>
      </c>
      <c r="CA19" s="10">
        <f t="shared" si="48"/>
        <v>0</v>
      </c>
      <c r="CB19" s="10">
        <f t="shared" si="49"/>
        <v>0</v>
      </c>
      <c r="CD19" s="10">
        <f>CD$5+SUM(CE$5:CE18)+SUM(R$5:R18)-SUM(S$5:S18)-SUM(CF$5:CF18)</f>
        <v>400000</v>
      </c>
      <c r="CE19" s="10">
        <f t="shared" si="42"/>
        <v>0</v>
      </c>
      <c r="CF19" s="10">
        <f t="shared" si="43"/>
        <v>0</v>
      </c>
      <c r="CG19" s="10">
        <f t="shared" si="44"/>
        <v>0</v>
      </c>
      <c r="CI19" s="44">
        <v>0.9544</v>
      </c>
      <c r="CJ19" s="10">
        <f t="shared" si="45"/>
        <v>0</v>
      </c>
      <c r="CK19" s="4">
        <f t="shared" si="50"/>
        <v>0</v>
      </c>
      <c r="CM19" s="10">
        <f t="shared" si="51"/>
        <v>0</v>
      </c>
      <c r="CN19" s="4">
        <f t="shared" si="52"/>
        <v>0</v>
      </c>
    </row>
    <row r="20" spans="1:92" ht="15.75">
      <c r="A20" s="36"/>
      <c r="B20" s="110">
        <v>37712</v>
      </c>
      <c r="C20" s="77">
        <f t="shared" si="1"/>
        <v>2.8726</v>
      </c>
      <c r="D20" s="78">
        <f>C20*(1+Podsumowanie!E$11)</f>
        <v>2.9587779999999997</v>
      </c>
      <c r="E20" s="34">
        <f t="shared" si="11"/>
        <v>0</v>
      </c>
      <c r="F20" s="7">
        <f t="shared" si="12"/>
        <v>0</v>
      </c>
      <c r="G20" s="7">
        <f t="shared" si="13"/>
        <v>0</v>
      </c>
      <c r="H20" s="7">
        <f t="shared" si="14"/>
        <v>0</v>
      </c>
      <c r="I20" s="32"/>
      <c r="J20" s="4" t="str">
        <f t="shared" si="15"/>
        <v xml:space="preserve"> </v>
      </c>
      <c r="K20" s="4">
        <f>IF(B20&lt;Podsumowanie!E$7,0,K19+1)</f>
        <v>0</v>
      </c>
      <c r="L20" s="100">
        <f t="shared" si="2"/>
        <v>0.0031</v>
      </c>
      <c r="M20" s="38">
        <f>L20+Podsumowanie!E$6</f>
        <v>0.0151</v>
      </c>
      <c r="N20" s="101">
        <f>MAX(Podsumowanie!E$4+SUM(AA$5:AA19)-SUM(X$5:X20)+SUM(W$5:W20),0)</f>
        <v>181357.6981355522</v>
      </c>
      <c r="O20" s="102">
        <f>MAX(Podsumowanie!E$2+SUM(V$5:V19)-SUM(S$5:S20)+SUM(R$5:R20),0)</f>
        <v>400000</v>
      </c>
      <c r="P20" s="39">
        <f t="shared" si="16"/>
        <v>360</v>
      </c>
      <c r="Q20" s="40" t="str">
        <f>IF(AND(K20&gt;0,K20&lt;=Podsumowanie!E$9),"tak","nie")</f>
        <v>nie</v>
      </c>
      <c r="R20" s="41"/>
      <c r="S20" s="42"/>
      <c r="T20" s="88">
        <f t="shared" si="17"/>
        <v>0</v>
      </c>
      <c r="U20" s="89">
        <f>IF(Q20="tak",T20,IF(P20-SUM(AB$5:AB20)+1&gt;0,IF(Podsumowanie!E$7&lt;B20,IF(SUM(AB$5:AB20)-Podsumowanie!E$9+1&gt;0,PMT(M20/12,P20+1-SUM(AB$5:AB20),O20),T20),0),0))</f>
        <v>0</v>
      </c>
      <c r="V20" s="89">
        <f t="shared" si="18"/>
        <v>0</v>
      </c>
      <c r="W20" s="90" t="str">
        <f>IF(R20&gt;0,R20/(C20*(1-Podsumowanie!E$11))," ")</f>
        <v xml:space="preserve"> </v>
      </c>
      <c r="X20" s="90">
        <f t="shared" si="19"/>
        <v>0</v>
      </c>
      <c r="Y20" s="91">
        <f t="shared" si="20"/>
        <v>0</v>
      </c>
      <c r="Z20" s="90">
        <f>IF(P20-SUM(AB$5:AB20)+1&gt;0,IF(Podsumowanie!E$7&lt;B20,IF(SUM(AB$5:AB20)-Podsumowanie!E$9+1&gt;0,PMT(M20/12,P20+1-SUM(AB$5:AB20),N20),Y20),0),0)</f>
        <v>0</v>
      </c>
      <c r="AA20" s="90">
        <f t="shared" si="21"/>
        <v>0</v>
      </c>
      <c r="AB20" s="8" t="str">
        <f>IF(AND(Podsumowanie!E$7&lt;B20,SUM(AB$5:AB19)&lt;P19),1," ")</f>
        <v xml:space="preserve"> </v>
      </c>
      <c r="AD20" s="51">
        <f>IF(OR(B20&lt;Podsumowanie!E$12,Podsumowanie!E$12=""),-F20+S20,0)</f>
        <v>0</v>
      </c>
      <c r="AE20" s="51">
        <f t="shared" si="22"/>
        <v>0</v>
      </c>
      <c r="AG20" s="10">
        <f>Podsumowanie!E$4-SUM(AI$5:AI19)+SUM(W20:W$42)-SUM(X20:X$42)</f>
        <v>181357.6981355522</v>
      </c>
      <c r="AH20" s="10">
        <f t="shared" si="23"/>
        <v>0</v>
      </c>
      <c r="AI20" s="10">
        <f t="shared" si="24"/>
        <v>0</v>
      </c>
      <c r="AJ20" s="10">
        <f t="shared" si="25"/>
        <v>0</v>
      </c>
      <c r="AK20" s="10">
        <f t="shared" si="26"/>
        <v>0</v>
      </c>
      <c r="AL20" s="10">
        <f>Podsumowanie!E$2-SUM(AN$5:AN19)+SUM(R20:R$42)-SUM(S20:S$42)</f>
        <v>400000</v>
      </c>
      <c r="AM20" s="10">
        <f t="shared" si="27"/>
        <v>0</v>
      </c>
      <c r="AN20" s="10">
        <f t="shared" si="28"/>
        <v>0</v>
      </c>
      <c r="AO20" s="10">
        <f t="shared" si="29"/>
        <v>0</v>
      </c>
      <c r="AP20" s="10">
        <f t="shared" si="30"/>
        <v>0</v>
      </c>
      <c r="AR20" s="43">
        <f t="shared" si="31"/>
        <v>37712</v>
      </c>
      <c r="AS20" s="11">
        <f>AS$5+SUM(AV$5:AV19)-SUM(X$5:X20)+SUM(W$5:W20)</f>
        <v>175916.96719148563</v>
      </c>
      <c r="AT20" s="10">
        <f t="shared" si="32"/>
        <v>0</v>
      </c>
      <c r="AU20" s="10">
        <f>IF(AB20=1,IF(Q20="tak",AT20,PMT(M20/12,P20+1-SUM(AB$5:AB20),AS20)),0)</f>
        <v>0</v>
      </c>
      <c r="AV20" s="10">
        <f t="shared" si="33"/>
        <v>0</v>
      </c>
      <c r="AW20" s="10">
        <f t="shared" si="34"/>
        <v>0</v>
      </c>
      <c r="AY20" s="11">
        <f>AY$5+SUM(BA$5:BA19)+SUM(W$5:W19)-SUM(X$5:X19)</f>
        <v>175916.96719148563</v>
      </c>
      <c r="AZ20" s="11">
        <f t="shared" si="35"/>
        <v>0</v>
      </c>
      <c r="BA20" s="11">
        <f t="shared" si="36"/>
        <v>0</v>
      </c>
      <c r="BB20" s="11">
        <f t="shared" si="37"/>
        <v>0</v>
      </c>
      <c r="BC20" s="11">
        <f t="shared" si="38"/>
        <v>0</v>
      </c>
      <c r="BE20" s="172">
        <f t="shared" si="4"/>
        <v>0.0597</v>
      </c>
      <c r="BF20" s="44">
        <f>BE20+Podsumowanie!$E$6</f>
        <v>0.0717</v>
      </c>
      <c r="BG20" s="11">
        <f>BG$5+SUM(BH$5:BH19)+SUM(R$5:R19)-SUM(S$5:S19)</f>
        <v>400000</v>
      </c>
      <c r="BH20" s="10">
        <f t="shared" si="39"/>
        <v>0</v>
      </c>
      <c r="BI20" s="10">
        <f t="shared" si="40"/>
        <v>0</v>
      </c>
      <c r="BJ20" s="10">
        <f>IF(U20&lt;0,PMT(BF20/12,Podsumowanie!E$8-SUM(AB$5:AB20)+1,BG20),0)</f>
        <v>0</v>
      </c>
      <c r="BL20" s="11">
        <f>BL$5+SUM(BN$5:BN19)+SUM(R$5:R19)-SUM(S$5:S19)</f>
        <v>400000</v>
      </c>
      <c r="BM20" s="11">
        <f t="shared" si="5"/>
        <v>0</v>
      </c>
      <c r="BN20" s="11">
        <f t="shared" si="6"/>
        <v>0</v>
      </c>
      <c r="BO20" s="11">
        <f t="shared" si="7"/>
        <v>0</v>
      </c>
      <c r="BQ20" s="44">
        <f t="shared" si="8"/>
        <v>0.0718</v>
      </c>
      <c r="BR20" s="11">
        <f>BR$5+SUM(BS$5:BS19)+SUM(R$5:R19)-SUM(S$5:S19)+SUM(BV$5:BV19)</f>
        <v>400000</v>
      </c>
      <c r="BS20" s="10">
        <f t="shared" si="46"/>
        <v>0</v>
      </c>
      <c r="BT20" s="10">
        <f t="shared" si="47"/>
        <v>0</v>
      </c>
      <c r="BU20" s="10">
        <f>IF(U20&lt;0,PMT(BQ20/12,Podsumowanie!E$8-SUM(AB$5:AB20)+1,BR20),0)</f>
        <v>0</v>
      </c>
      <c r="BV20" s="10">
        <f t="shared" si="41"/>
        <v>0</v>
      </c>
      <c r="BX20" s="11">
        <f>BX$5+SUM(BZ$5:BZ19)+SUM(R$5:R19)-SUM(S$5:S19)+SUM(CB$5,CB19)</f>
        <v>400000</v>
      </c>
      <c r="BY20" s="10">
        <f t="shared" si="9"/>
        <v>0</v>
      </c>
      <c r="BZ20" s="10">
        <f t="shared" si="10"/>
        <v>0</v>
      </c>
      <c r="CA20" s="10">
        <f t="shared" si="48"/>
        <v>0</v>
      </c>
      <c r="CB20" s="10">
        <f t="shared" si="49"/>
        <v>0</v>
      </c>
      <c r="CD20" s="10">
        <f>CD$5+SUM(CE$5:CE19)+SUM(R$5:R19)-SUM(S$5:S19)-SUM(CF$5:CF19)</f>
        <v>400000</v>
      </c>
      <c r="CE20" s="10">
        <f t="shared" si="42"/>
        <v>0</v>
      </c>
      <c r="CF20" s="10">
        <f t="shared" si="43"/>
        <v>0</v>
      </c>
      <c r="CG20" s="10">
        <f t="shared" si="44"/>
        <v>0</v>
      </c>
      <c r="CI20" s="44">
        <v>0.9485</v>
      </c>
      <c r="CJ20" s="10">
        <f t="shared" si="45"/>
        <v>0</v>
      </c>
      <c r="CK20" s="4">
        <f t="shared" si="50"/>
        <v>0</v>
      </c>
      <c r="CM20" s="10">
        <f t="shared" si="51"/>
        <v>0</v>
      </c>
      <c r="CN20" s="4">
        <f t="shared" si="52"/>
        <v>0</v>
      </c>
    </row>
    <row r="21" spans="1:92" ht="15.75">
      <c r="A21" s="36"/>
      <c r="B21" s="110">
        <v>37742</v>
      </c>
      <c r="C21" s="77">
        <f t="shared" si="1"/>
        <v>2.8555</v>
      </c>
      <c r="D21" s="78">
        <f>C21*(1+Podsumowanie!E$11)</f>
        <v>2.9411650000000003</v>
      </c>
      <c r="E21" s="34">
        <f t="shared" si="11"/>
        <v>0</v>
      </c>
      <c r="F21" s="7">
        <f t="shared" si="12"/>
        <v>0</v>
      </c>
      <c r="G21" s="7">
        <f t="shared" si="13"/>
        <v>0</v>
      </c>
      <c r="H21" s="7">
        <f t="shared" si="14"/>
        <v>0</v>
      </c>
      <c r="I21" s="32"/>
      <c r="J21" s="4" t="str">
        <f t="shared" si="15"/>
        <v xml:space="preserve"> </v>
      </c>
      <c r="K21" s="4">
        <f>IF(B21&lt;Podsumowanie!E$7,0,K20+1)</f>
        <v>0</v>
      </c>
      <c r="L21" s="100">
        <f t="shared" si="2"/>
        <v>0.003</v>
      </c>
      <c r="M21" s="38">
        <f>L21+Podsumowanie!E$6</f>
        <v>0.015</v>
      </c>
      <c r="N21" s="101">
        <f>MAX(Podsumowanie!E$4+SUM(AA$5:AA20)-SUM(X$5:X21)+SUM(W$5:W21),0)</f>
        <v>181357.6981355522</v>
      </c>
      <c r="O21" s="102">
        <f>MAX(Podsumowanie!E$2+SUM(V$5:V20)-SUM(S$5:S21)+SUM(R$5:R21),0)</f>
        <v>400000</v>
      </c>
      <c r="P21" s="39">
        <f t="shared" si="16"/>
        <v>360</v>
      </c>
      <c r="Q21" s="40" t="str">
        <f>IF(AND(K21&gt;0,K21&lt;=Podsumowanie!E$9),"tak","nie")</f>
        <v>nie</v>
      </c>
      <c r="R21" s="41"/>
      <c r="S21" s="42"/>
      <c r="T21" s="88">
        <f t="shared" si="17"/>
        <v>0</v>
      </c>
      <c r="U21" s="89">
        <f>IF(Q21="tak",T21,IF(P21-SUM(AB$5:AB21)+1&gt;0,IF(Podsumowanie!E$7&lt;B21,IF(SUM(AB$5:AB21)-Podsumowanie!E$9+1&gt;0,PMT(M21/12,P21+1-SUM(AB$5:AB21),O21),T21),0),0))</f>
        <v>0</v>
      </c>
      <c r="V21" s="89">
        <f t="shared" si="18"/>
        <v>0</v>
      </c>
      <c r="W21" s="90" t="str">
        <f>IF(R21&gt;0,R21/(C21*(1-Podsumowanie!E$11))," ")</f>
        <v xml:space="preserve"> </v>
      </c>
      <c r="X21" s="90">
        <f t="shared" si="19"/>
        <v>0</v>
      </c>
      <c r="Y21" s="91">
        <f t="shared" si="20"/>
        <v>0</v>
      </c>
      <c r="Z21" s="90">
        <f>IF(P21-SUM(AB$5:AB21)+1&gt;0,IF(Podsumowanie!E$7&lt;B21,IF(SUM(AB$5:AB21)-Podsumowanie!E$9+1&gt;0,PMT(M21/12,P21+1-SUM(AB$5:AB21),N21),Y21),0),0)</f>
        <v>0</v>
      </c>
      <c r="AA21" s="90">
        <f t="shared" si="21"/>
        <v>0</v>
      </c>
      <c r="AB21" s="8" t="str">
        <f>IF(AND(Podsumowanie!E$7&lt;B21,SUM(AB$5:AB20)&lt;P20),1," ")</f>
        <v xml:space="preserve"> </v>
      </c>
      <c r="AD21" s="51">
        <f>IF(OR(B21&lt;Podsumowanie!E$12,Podsumowanie!E$12=""),-F21+S21,0)</f>
        <v>0</v>
      </c>
      <c r="AE21" s="51">
        <f t="shared" si="22"/>
        <v>0</v>
      </c>
      <c r="AG21" s="10">
        <f>Podsumowanie!E$4-SUM(AI$5:AI20)+SUM(W21:W$42)-SUM(X21:X$42)</f>
        <v>181357.6981355522</v>
      </c>
      <c r="AH21" s="10">
        <f t="shared" si="23"/>
        <v>0</v>
      </c>
      <c r="AI21" s="10">
        <f t="shared" si="24"/>
        <v>0</v>
      </c>
      <c r="AJ21" s="10">
        <f t="shared" si="25"/>
        <v>0</v>
      </c>
      <c r="AK21" s="10">
        <f t="shared" si="26"/>
        <v>0</v>
      </c>
      <c r="AL21" s="10">
        <f>Podsumowanie!E$2-SUM(AN$5:AN20)+SUM(R21:R$42)-SUM(S21:S$42)</f>
        <v>400000</v>
      </c>
      <c r="AM21" s="10">
        <f t="shared" si="27"/>
        <v>0</v>
      </c>
      <c r="AN21" s="10">
        <f t="shared" si="28"/>
        <v>0</v>
      </c>
      <c r="AO21" s="10">
        <f t="shared" si="29"/>
        <v>0</v>
      </c>
      <c r="AP21" s="10">
        <f t="shared" si="30"/>
        <v>0</v>
      </c>
      <c r="AR21" s="43">
        <f t="shared" si="31"/>
        <v>37742</v>
      </c>
      <c r="AS21" s="11">
        <f>AS$5+SUM(AV$5:AV20)-SUM(X$5:X21)+SUM(W$5:W21)</f>
        <v>175916.96719148563</v>
      </c>
      <c r="AT21" s="10">
        <f t="shared" si="32"/>
        <v>0</v>
      </c>
      <c r="AU21" s="10">
        <f>IF(AB21=1,IF(Q21="tak",AT21,PMT(M21/12,P21+1-SUM(AB$5:AB21),AS21)),0)</f>
        <v>0</v>
      </c>
      <c r="AV21" s="10">
        <f t="shared" si="33"/>
        <v>0</v>
      </c>
      <c r="AW21" s="10">
        <f t="shared" si="34"/>
        <v>0</v>
      </c>
      <c r="AY21" s="11">
        <f>AY$5+SUM(BA$5:BA20)+SUM(W$5:W20)-SUM(X$5:X20)</f>
        <v>175916.96719148563</v>
      </c>
      <c r="AZ21" s="11">
        <f t="shared" si="35"/>
        <v>0</v>
      </c>
      <c r="BA21" s="11">
        <f t="shared" si="36"/>
        <v>0</v>
      </c>
      <c r="BB21" s="11">
        <f t="shared" si="37"/>
        <v>0</v>
      </c>
      <c r="BC21" s="11">
        <f t="shared" si="38"/>
        <v>0</v>
      </c>
      <c r="BE21" s="172">
        <f t="shared" si="4"/>
        <v>0.057</v>
      </c>
      <c r="BF21" s="44">
        <f>BE21+Podsumowanie!$E$6</f>
        <v>0.069</v>
      </c>
      <c r="BG21" s="11">
        <f>BG$5+SUM(BH$5:BH20)+SUM(R$5:R20)-SUM(S$5:S20)</f>
        <v>400000</v>
      </c>
      <c r="BH21" s="10">
        <f t="shared" si="39"/>
        <v>0</v>
      </c>
      <c r="BI21" s="10">
        <f t="shared" si="40"/>
        <v>0</v>
      </c>
      <c r="BJ21" s="10">
        <f>IF(U21&lt;0,PMT(BF21/12,Podsumowanie!E$8-SUM(AB$5:AB21)+1,BG21),0)</f>
        <v>0</v>
      </c>
      <c r="BL21" s="11">
        <f>BL$5+SUM(BN$5:BN20)+SUM(R$5:R20)-SUM(S$5:S20)</f>
        <v>400000</v>
      </c>
      <c r="BM21" s="11">
        <f t="shared" si="5"/>
        <v>0</v>
      </c>
      <c r="BN21" s="11">
        <f t="shared" si="6"/>
        <v>0</v>
      </c>
      <c r="BO21" s="11">
        <f t="shared" si="7"/>
        <v>0</v>
      </c>
      <c r="BQ21" s="44">
        <f t="shared" si="8"/>
        <v>0.0691</v>
      </c>
      <c r="BR21" s="11">
        <f>BR$5+SUM(BS$5:BS20)+SUM(R$5:R20)-SUM(S$5:S20)+SUM(BV$5:BV20)</f>
        <v>400000</v>
      </c>
      <c r="BS21" s="10">
        <f t="shared" si="46"/>
        <v>0</v>
      </c>
      <c r="BT21" s="10">
        <f t="shared" si="47"/>
        <v>0</v>
      </c>
      <c r="BU21" s="10">
        <f>IF(U21&lt;0,PMT(BQ21/12,Podsumowanie!E$8-SUM(AB$5:AB21)+1,BR21),0)</f>
        <v>0</v>
      </c>
      <c r="BV21" s="10">
        <f t="shared" si="41"/>
        <v>0</v>
      </c>
      <c r="BX21" s="11">
        <f>BX$5+SUM(BZ$5:BZ20)+SUM(R$5:R20)-SUM(S$5:S20)+SUM(CB$5,CB20)</f>
        <v>400000</v>
      </c>
      <c r="BY21" s="10">
        <f t="shared" si="9"/>
        <v>0</v>
      </c>
      <c r="BZ21" s="10">
        <f t="shared" si="10"/>
        <v>0</v>
      </c>
      <c r="CA21" s="10">
        <f t="shared" si="48"/>
        <v>0</v>
      </c>
      <c r="CB21" s="10">
        <f t="shared" si="49"/>
        <v>0</v>
      </c>
      <c r="CD21" s="10">
        <f>CD$5+SUM(CE$5:CE20)+SUM(R$5:R20)-SUM(S$5:S20)-SUM(CF$5:CF20)</f>
        <v>400000</v>
      </c>
      <c r="CE21" s="10">
        <f t="shared" si="42"/>
        <v>0</v>
      </c>
      <c r="CF21" s="10">
        <f t="shared" si="43"/>
        <v>0</v>
      </c>
      <c r="CG21" s="10">
        <f t="shared" si="44"/>
        <v>0</v>
      </c>
      <c r="CI21" s="44">
        <v>0.9446</v>
      </c>
      <c r="CJ21" s="10">
        <f t="shared" si="45"/>
        <v>0</v>
      </c>
      <c r="CK21" s="4">
        <f t="shared" si="50"/>
        <v>0</v>
      </c>
      <c r="CM21" s="10">
        <f t="shared" si="51"/>
        <v>0</v>
      </c>
      <c r="CN21" s="4">
        <f t="shared" si="52"/>
        <v>0</v>
      </c>
    </row>
    <row r="22" spans="1:92" ht="15.75">
      <c r="A22" s="36"/>
      <c r="B22" s="110">
        <v>37773</v>
      </c>
      <c r="C22" s="77">
        <f t="shared" si="1"/>
        <v>2.8789</v>
      </c>
      <c r="D22" s="78">
        <f>C22*(1+Podsumowanie!E$11)</f>
        <v>2.965267</v>
      </c>
      <c r="E22" s="34">
        <f t="shared" si="11"/>
        <v>0</v>
      </c>
      <c r="F22" s="7">
        <f t="shared" si="12"/>
        <v>0</v>
      </c>
      <c r="G22" s="7">
        <f t="shared" si="13"/>
        <v>0</v>
      </c>
      <c r="H22" s="7">
        <f t="shared" si="14"/>
        <v>0</v>
      </c>
      <c r="I22" s="32"/>
      <c r="J22" s="4" t="str">
        <f t="shared" si="15"/>
        <v xml:space="preserve"> </v>
      </c>
      <c r="K22" s="4">
        <f>IF(B22&lt;Podsumowanie!E$7,0,K21+1)</f>
        <v>0</v>
      </c>
      <c r="L22" s="100">
        <f t="shared" si="2"/>
        <v>0.0029</v>
      </c>
      <c r="M22" s="38">
        <f>L22+Podsumowanie!E$6</f>
        <v>0.0149</v>
      </c>
      <c r="N22" s="101">
        <f>MAX(Podsumowanie!E$4+SUM(AA$5:AA21)-SUM(X$5:X22)+SUM(W$5:W22),0)</f>
        <v>181357.6981355522</v>
      </c>
      <c r="O22" s="102">
        <f>MAX(Podsumowanie!E$2+SUM(V$5:V21)-SUM(S$5:S22)+SUM(R$5:R22),0)</f>
        <v>400000</v>
      </c>
      <c r="P22" s="39">
        <f t="shared" si="16"/>
        <v>360</v>
      </c>
      <c r="Q22" s="40" t="str">
        <f>IF(AND(K22&gt;0,K22&lt;=Podsumowanie!E$9),"tak","nie")</f>
        <v>nie</v>
      </c>
      <c r="R22" s="41"/>
      <c r="S22" s="42"/>
      <c r="T22" s="88">
        <f t="shared" si="17"/>
        <v>0</v>
      </c>
      <c r="U22" s="89">
        <f>IF(Q22="tak",T22,IF(P22-SUM(AB$5:AB22)+1&gt;0,IF(Podsumowanie!E$7&lt;B22,IF(SUM(AB$5:AB22)-Podsumowanie!E$9+1&gt;0,PMT(M22/12,P22+1-SUM(AB$5:AB22),O22),T22),0),0))</f>
        <v>0</v>
      </c>
      <c r="V22" s="89">
        <f t="shared" si="18"/>
        <v>0</v>
      </c>
      <c r="W22" s="90" t="str">
        <f>IF(R22&gt;0,R22/(C22*(1-Podsumowanie!E$11))," ")</f>
        <v xml:space="preserve"> </v>
      </c>
      <c r="X22" s="90">
        <f t="shared" si="19"/>
        <v>0</v>
      </c>
      <c r="Y22" s="91">
        <f t="shared" si="20"/>
        <v>0</v>
      </c>
      <c r="Z22" s="90">
        <f>IF(P22-SUM(AB$5:AB22)+1&gt;0,IF(Podsumowanie!E$7&lt;B22,IF(SUM(AB$5:AB22)-Podsumowanie!E$9+1&gt;0,PMT(M22/12,P22+1-SUM(AB$5:AB22),N22),Y22),0),0)</f>
        <v>0</v>
      </c>
      <c r="AA22" s="90">
        <f t="shared" si="21"/>
        <v>0</v>
      </c>
      <c r="AB22" s="8" t="str">
        <f>IF(AND(Podsumowanie!E$7&lt;B22,SUM(AB$5:AB21)&lt;P21),1," ")</f>
        <v xml:space="preserve"> </v>
      </c>
      <c r="AD22" s="51">
        <f>IF(OR(B22&lt;Podsumowanie!E$12,Podsumowanie!E$12=""),-F22+S22,0)</f>
        <v>0</v>
      </c>
      <c r="AE22" s="51">
        <f t="shared" si="22"/>
        <v>0</v>
      </c>
      <c r="AG22" s="10">
        <f>Podsumowanie!E$4-SUM(AI$5:AI21)+SUM(W22:W$42)-SUM(X22:X$42)</f>
        <v>181357.6981355522</v>
      </c>
      <c r="AH22" s="10">
        <f t="shared" si="23"/>
        <v>0</v>
      </c>
      <c r="AI22" s="10">
        <f t="shared" si="24"/>
        <v>0</v>
      </c>
      <c r="AJ22" s="10">
        <f t="shared" si="25"/>
        <v>0</v>
      </c>
      <c r="AK22" s="10">
        <f t="shared" si="26"/>
        <v>0</v>
      </c>
      <c r="AL22" s="10">
        <f>Podsumowanie!E$2-SUM(AN$5:AN21)+SUM(R22:R$42)-SUM(S22:S$42)</f>
        <v>400000</v>
      </c>
      <c r="AM22" s="10">
        <f t="shared" si="27"/>
        <v>0</v>
      </c>
      <c r="AN22" s="10">
        <f t="shared" si="28"/>
        <v>0</v>
      </c>
      <c r="AO22" s="10">
        <f t="shared" si="29"/>
        <v>0</v>
      </c>
      <c r="AP22" s="10">
        <f t="shared" si="30"/>
        <v>0</v>
      </c>
      <c r="AR22" s="43">
        <f t="shared" si="31"/>
        <v>37773</v>
      </c>
      <c r="AS22" s="11">
        <f>AS$5+SUM(AV$5:AV21)-SUM(X$5:X22)+SUM(W$5:W22)</f>
        <v>175916.96719148563</v>
      </c>
      <c r="AT22" s="10">
        <f t="shared" si="32"/>
        <v>0</v>
      </c>
      <c r="AU22" s="10">
        <f>IF(AB22=1,IF(Q22="tak",AT22,PMT(M22/12,P22+1-SUM(AB$5:AB22),AS22)),0)</f>
        <v>0</v>
      </c>
      <c r="AV22" s="10">
        <f t="shared" si="33"/>
        <v>0</v>
      </c>
      <c r="AW22" s="10">
        <f t="shared" si="34"/>
        <v>0</v>
      </c>
      <c r="AY22" s="11">
        <f>AY$5+SUM(BA$5:BA21)+SUM(W$5:W21)-SUM(X$5:X21)</f>
        <v>175916.96719148563</v>
      </c>
      <c r="AZ22" s="11">
        <f t="shared" si="35"/>
        <v>0</v>
      </c>
      <c r="BA22" s="11">
        <f t="shared" si="36"/>
        <v>0</v>
      </c>
      <c r="BB22" s="11">
        <f t="shared" si="37"/>
        <v>0</v>
      </c>
      <c r="BC22" s="11">
        <f t="shared" si="38"/>
        <v>0</v>
      </c>
      <c r="BE22" s="172">
        <f t="shared" si="4"/>
        <v>0.054</v>
      </c>
      <c r="BF22" s="44">
        <f>BE22+Podsumowanie!$E$6</f>
        <v>0.066</v>
      </c>
      <c r="BG22" s="11">
        <f>BG$5+SUM(BH$5:BH21)+SUM(R$5:R21)-SUM(S$5:S21)</f>
        <v>400000</v>
      </c>
      <c r="BH22" s="10">
        <f t="shared" si="39"/>
        <v>0</v>
      </c>
      <c r="BI22" s="10">
        <f t="shared" si="40"/>
        <v>0</v>
      </c>
      <c r="BJ22" s="10">
        <f>IF(U22&lt;0,PMT(BF22/12,Podsumowanie!E$8-SUM(AB$5:AB22)+1,BG22),0)</f>
        <v>0</v>
      </c>
      <c r="BL22" s="11">
        <f>BL$5+SUM(BN$5:BN21)+SUM(R$5:R21)-SUM(S$5:S21)</f>
        <v>400000</v>
      </c>
      <c r="BM22" s="11">
        <f t="shared" si="5"/>
        <v>0</v>
      </c>
      <c r="BN22" s="11">
        <f t="shared" si="6"/>
        <v>0</v>
      </c>
      <c r="BO22" s="11">
        <f t="shared" si="7"/>
        <v>0</v>
      </c>
      <c r="BQ22" s="44">
        <f t="shared" si="8"/>
        <v>0.06609999999999999</v>
      </c>
      <c r="BR22" s="11">
        <f>BR$5+SUM(BS$5:BS21)+SUM(R$5:R21)-SUM(S$5:S21)+SUM(BV$5:BV21)</f>
        <v>400000</v>
      </c>
      <c r="BS22" s="10">
        <f t="shared" si="46"/>
        <v>0</v>
      </c>
      <c r="BT22" s="10">
        <f t="shared" si="47"/>
        <v>0</v>
      </c>
      <c r="BU22" s="10">
        <f>IF(U22&lt;0,PMT(BQ22/12,Podsumowanie!E$8-SUM(AB$5:AB22)+1,BR22),0)</f>
        <v>0</v>
      </c>
      <c r="BV22" s="10">
        <f t="shared" si="41"/>
        <v>0</v>
      </c>
      <c r="BX22" s="11">
        <f>BX$5+SUM(BZ$5:BZ21)+SUM(R$5:R21)-SUM(S$5:S21)+SUM(CB$5,CB21)</f>
        <v>400000</v>
      </c>
      <c r="BY22" s="10">
        <f t="shared" si="9"/>
        <v>0</v>
      </c>
      <c r="BZ22" s="10">
        <f t="shared" si="10"/>
        <v>0</v>
      </c>
      <c r="CA22" s="10">
        <f t="shared" si="48"/>
        <v>0</v>
      </c>
      <c r="CB22" s="10">
        <f t="shared" si="49"/>
        <v>0</v>
      </c>
      <c r="CD22" s="10">
        <f>CD$5+SUM(CE$5:CE21)+SUM(R$5:R21)-SUM(S$5:S21)-SUM(CF$5:CF21)</f>
        <v>400000</v>
      </c>
      <c r="CE22" s="10">
        <f t="shared" si="42"/>
        <v>0</v>
      </c>
      <c r="CF22" s="10">
        <f t="shared" si="43"/>
        <v>0</v>
      </c>
      <c r="CG22" s="10">
        <f t="shared" si="44"/>
        <v>0</v>
      </c>
      <c r="CI22" s="44">
        <v>0.9446</v>
      </c>
      <c r="CJ22" s="10">
        <f t="shared" si="45"/>
        <v>0</v>
      </c>
      <c r="CK22" s="4">
        <f t="shared" si="50"/>
        <v>0</v>
      </c>
      <c r="CM22" s="10">
        <f t="shared" si="51"/>
        <v>0</v>
      </c>
      <c r="CN22" s="4">
        <f t="shared" si="52"/>
        <v>0</v>
      </c>
    </row>
    <row r="23" spans="1:92" ht="15.75">
      <c r="A23" s="36"/>
      <c r="B23" s="110">
        <v>37803</v>
      </c>
      <c r="C23" s="77">
        <f t="shared" si="1"/>
        <v>2.8722</v>
      </c>
      <c r="D23" s="78">
        <f>C23*(1+Podsumowanie!E$11)</f>
        <v>2.958366</v>
      </c>
      <c r="E23" s="34">
        <f t="shared" si="11"/>
        <v>0</v>
      </c>
      <c r="F23" s="7">
        <f t="shared" si="12"/>
        <v>0</v>
      </c>
      <c r="G23" s="7">
        <f t="shared" si="13"/>
        <v>0</v>
      </c>
      <c r="H23" s="7">
        <f t="shared" si="14"/>
        <v>0</v>
      </c>
      <c r="I23" s="32"/>
      <c r="J23" s="4" t="str">
        <f t="shared" si="15"/>
        <v xml:space="preserve"> </v>
      </c>
      <c r="K23" s="4">
        <f>IF(B23&lt;Podsumowanie!E$7,0,K22+1)</f>
        <v>0</v>
      </c>
      <c r="L23" s="100">
        <f t="shared" si="2"/>
        <v>0.0028</v>
      </c>
      <c r="M23" s="38">
        <f>L23+Podsumowanie!E$6</f>
        <v>0.0148</v>
      </c>
      <c r="N23" s="101">
        <f>MAX(Podsumowanie!E$4+SUM(AA$5:AA22)-SUM(X$5:X23)+SUM(W$5:W23),0)</f>
        <v>181357.6981355522</v>
      </c>
      <c r="O23" s="102">
        <f>MAX(Podsumowanie!E$2+SUM(V$5:V22)-SUM(S$5:S23)+SUM(R$5:R23),0)</f>
        <v>400000</v>
      </c>
      <c r="P23" s="39">
        <f t="shared" si="16"/>
        <v>360</v>
      </c>
      <c r="Q23" s="40" t="str">
        <f>IF(AND(K23&gt;0,K23&lt;=Podsumowanie!E$9),"tak","nie")</f>
        <v>nie</v>
      </c>
      <c r="R23" s="41"/>
      <c r="S23" s="42"/>
      <c r="T23" s="88">
        <f t="shared" si="17"/>
        <v>0</v>
      </c>
      <c r="U23" s="89">
        <f>IF(Q23="tak",T23,IF(P23-SUM(AB$5:AB23)+1&gt;0,IF(Podsumowanie!E$7&lt;B23,IF(SUM(AB$5:AB23)-Podsumowanie!E$9+1&gt;0,PMT(M23/12,P23+1-SUM(AB$5:AB23),O23),T23),0),0))</f>
        <v>0</v>
      </c>
      <c r="V23" s="89">
        <f t="shared" si="18"/>
        <v>0</v>
      </c>
      <c r="W23" s="90" t="str">
        <f>IF(R23&gt;0,R23/(C23*(1-Podsumowanie!E$11))," ")</f>
        <v xml:space="preserve"> </v>
      </c>
      <c r="X23" s="90">
        <f t="shared" si="19"/>
        <v>0</v>
      </c>
      <c r="Y23" s="91">
        <f t="shared" si="20"/>
        <v>0</v>
      </c>
      <c r="Z23" s="90">
        <f>IF(P23-SUM(AB$5:AB23)+1&gt;0,IF(Podsumowanie!E$7&lt;B23,IF(SUM(AB$5:AB23)-Podsumowanie!E$9+1&gt;0,PMT(M23/12,P23+1-SUM(AB$5:AB23),N23),Y23),0),0)</f>
        <v>0</v>
      </c>
      <c r="AA23" s="90">
        <f t="shared" si="21"/>
        <v>0</v>
      </c>
      <c r="AB23" s="8" t="str">
        <f>IF(AND(Podsumowanie!E$7&lt;B23,SUM(AB$5:AB22)&lt;P22),1," ")</f>
        <v xml:space="preserve"> </v>
      </c>
      <c r="AD23" s="51">
        <f>IF(OR(B23&lt;Podsumowanie!E$12,Podsumowanie!E$12=""),-F23+S23,0)</f>
        <v>0</v>
      </c>
      <c r="AE23" s="51">
        <f t="shared" si="22"/>
        <v>0</v>
      </c>
      <c r="AG23" s="10">
        <f>Podsumowanie!E$4-SUM(AI$5:AI22)+SUM(W23:W$42)-SUM(X23:X$42)</f>
        <v>181357.6981355522</v>
      </c>
      <c r="AH23" s="10">
        <f t="shared" si="23"/>
        <v>0</v>
      </c>
      <c r="AI23" s="10">
        <f t="shared" si="24"/>
        <v>0</v>
      </c>
      <c r="AJ23" s="10">
        <f t="shared" si="25"/>
        <v>0</v>
      </c>
      <c r="AK23" s="10">
        <f t="shared" si="26"/>
        <v>0</v>
      </c>
      <c r="AL23" s="10">
        <f>Podsumowanie!E$2-SUM(AN$5:AN22)+SUM(R23:R$42)-SUM(S23:S$42)</f>
        <v>400000</v>
      </c>
      <c r="AM23" s="10">
        <f t="shared" si="27"/>
        <v>0</v>
      </c>
      <c r="AN23" s="10">
        <f t="shared" si="28"/>
        <v>0</v>
      </c>
      <c r="AO23" s="10">
        <f t="shared" si="29"/>
        <v>0</v>
      </c>
      <c r="AP23" s="10">
        <f t="shared" si="30"/>
        <v>0</v>
      </c>
      <c r="AR23" s="43">
        <f t="shared" si="31"/>
        <v>37803</v>
      </c>
      <c r="AS23" s="11">
        <f>AS$5+SUM(AV$5:AV22)-SUM(X$5:X23)+SUM(W$5:W23)</f>
        <v>175916.96719148563</v>
      </c>
      <c r="AT23" s="10">
        <f t="shared" si="32"/>
        <v>0</v>
      </c>
      <c r="AU23" s="10">
        <f>IF(AB23=1,IF(Q23="tak",AT23,PMT(M23/12,P23+1-SUM(AB$5:AB23),AS23)),0)</f>
        <v>0</v>
      </c>
      <c r="AV23" s="10">
        <f t="shared" si="33"/>
        <v>0</v>
      </c>
      <c r="AW23" s="10">
        <f t="shared" si="34"/>
        <v>0</v>
      </c>
      <c r="AY23" s="11">
        <f>AY$5+SUM(BA$5:BA22)+SUM(W$5:W22)-SUM(X$5:X22)</f>
        <v>175916.96719148563</v>
      </c>
      <c r="AZ23" s="11">
        <f t="shared" si="35"/>
        <v>0</v>
      </c>
      <c r="BA23" s="11">
        <f t="shared" si="36"/>
        <v>0</v>
      </c>
      <c r="BB23" s="11">
        <f t="shared" si="37"/>
        <v>0</v>
      </c>
      <c r="BC23" s="11">
        <f t="shared" si="38"/>
        <v>0</v>
      </c>
      <c r="BE23" s="172">
        <f t="shared" si="4"/>
        <v>0.0529</v>
      </c>
      <c r="BF23" s="44">
        <f>BE23+Podsumowanie!$E$6</f>
        <v>0.0649</v>
      </c>
      <c r="BG23" s="11">
        <f>BG$5+SUM(BH$5:BH22)+SUM(R$5:R22)-SUM(S$5:S22)</f>
        <v>400000</v>
      </c>
      <c r="BH23" s="10">
        <f t="shared" si="39"/>
        <v>0</v>
      </c>
      <c r="BI23" s="10">
        <f t="shared" si="40"/>
        <v>0</v>
      </c>
      <c r="BJ23" s="10">
        <f>IF(U23&lt;0,PMT(BF23/12,Podsumowanie!E$8-SUM(AB$5:AB23)+1,BG23),0)</f>
        <v>0</v>
      </c>
      <c r="BL23" s="11">
        <f>BL$5+SUM(BN$5:BN22)+SUM(R$5:R22)-SUM(S$5:S22)</f>
        <v>400000</v>
      </c>
      <c r="BM23" s="11">
        <f t="shared" si="5"/>
        <v>0</v>
      </c>
      <c r="BN23" s="11">
        <f t="shared" si="6"/>
        <v>0</v>
      </c>
      <c r="BO23" s="11">
        <f t="shared" si="7"/>
        <v>0</v>
      </c>
      <c r="BQ23" s="44">
        <f t="shared" si="8"/>
        <v>0.065</v>
      </c>
      <c r="BR23" s="11">
        <f>BR$5+SUM(BS$5:BS22)+SUM(R$5:R22)-SUM(S$5:S22)+SUM(BV$5:BV22)</f>
        <v>400000</v>
      </c>
      <c r="BS23" s="10">
        <f t="shared" si="46"/>
        <v>0</v>
      </c>
      <c r="BT23" s="10">
        <f t="shared" si="47"/>
        <v>0</v>
      </c>
      <c r="BU23" s="10">
        <f>IF(U23&lt;0,PMT(BQ23/12,Podsumowanie!E$8-SUM(AB$5:AB23)+1,BR23),0)</f>
        <v>0</v>
      </c>
      <c r="BV23" s="10">
        <f t="shared" si="41"/>
        <v>0</v>
      </c>
      <c r="BX23" s="11">
        <f>BX$5+SUM(BZ$5:BZ22)+SUM(R$5:R22)-SUM(S$5:S22)+SUM(CB$5,CB22)</f>
        <v>400000</v>
      </c>
      <c r="BY23" s="10">
        <f t="shared" si="9"/>
        <v>0</v>
      </c>
      <c r="BZ23" s="10">
        <f t="shared" si="10"/>
        <v>0</v>
      </c>
      <c r="CA23" s="10">
        <f t="shared" si="48"/>
        <v>0</v>
      </c>
      <c r="CB23" s="10">
        <f t="shared" si="49"/>
        <v>0</v>
      </c>
      <c r="CD23" s="10">
        <f>CD$5+SUM(CE$5:CE22)+SUM(R$5:R22)-SUM(S$5:S22)-SUM(CF$5:CF22)</f>
        <v>400000</v>
      </c>
      <c r="CE23" s="10">
        <f t="shared" si="42"/>
        <v>0</v>
      </c>
      <c r="CF23" s="10">
        <f t="shared" si="43"/>
        <v>0</v>
      </c>
      <c r="CG23" s="10">
        <f t="shared" si="44"/>
        <v>0</v>
      </c>
      <c r="CI23" s="44">
        <v>0.9466</v>
      </c>
      <c r="CJ23" s="10">
        <f t="shared" si="45"/>
        <v>0</v>
      </c>
      <c r="CK23" s="4">
        <f t="shared" si="50"/>
        <v>0</v>
      </c>
      <c r="CM23" s="10">
        <f t="shared" si="51"/>
        <v>0</v>
      </c>
      <c r="CN23" s="4">
        <f t="shared" si="52"/>
        <v>0</v>
      </c>
    </row>
    <row r="24" spans="1:92" ht="15.75">
      <c r="A24" s="36"/>
      <c r="B24" s="110">
        <v>37834</v>
      </c>
      <c r="C24" s="77">
        <f t="shared" si="1"/>
        <v>2.8345</v>
      </c>
      <c r="D24" s="78">
        <f>C24*(1+Podsumowanie!E$11)</f>
        <v>2.9195349999999998</v>
      </c>
      <c r="E24" s="34">
        <f t="shared" si="11"/>
        <v>0</v>
      </c>
      <c r="F24" s="7">
        <f t="shared" si="12"/>
        <v>0</v>
      </c>
      <c r="G24" s="7">
        <f t="shared" si="13"/>
        <v>0</v>
      </c>
      <c r="H24" s="7">
        <f t="shared" si="14"/>
        <v>0</v>
      </c>
      <c r="I24" s="32"/>
      <c r="J24" s="4" t="str">
        <f t="shared" si="15"/>
        <v xml:space="preserve"> </v>
      </c>
      <c r="K24" s="4">
        <f>IF(B24&lt;Podsumowanie!E$7,0,K23+1)</f>
        <v>0</v>
      </c>
      <c r="L24" s="100">
        <f t="shared" si="2"/>
        <v>0.002933</v>
      </c>
      <c r="M24" s="38">
        <f>L24+Podsumowanie!E$6</f>
        <v>0.014933</v>
      </c>
      <c r="N24" s="101">
        <f>MAX(Podsumowanie!E$4+SUM(AA$5:AA23)-SUM(X$5:X24)+SUM(W$5:W24),0)</f>
        <v>181357.6981355522</v>
      </c>
      <c r="O24" s="102">
        <f>MAX(Podsumowanie!E$2+SUM(V$5:V23)-SUM(S$5:S24)+SUM(R$5:R24),0)</f>
        <v>400000</v>
      </c>
      <c r="P24" s="39">
        <f t="shared" si="16"/>
        <v>360</v>
      </c>
      <c r="Q24" s="40" t="str">
        <f>IF(AND(K24&gt;0,K24&lt;=Podsumowanie!E$9),"tak","nie")</f>
        <v>nie</v>
      </c>
      <c r="R24" s="41"/>
      <c r="S24" s="42"/>
      <c r="T24" s="88">
        <f t="shared" si="17"/>
        <v>0</v>
      </c>
      <c r="U24" s="89">
        <f>IF(Q24="tak",T24,IF(P24-SUM(AB$5:AB24)+1&gt;0,IF(Podsumowanie!E$7&lt;B24,IF(SUM(AB$5:AB24)-Podsumowanie!E$9+1&gt;0,PMT(M24/12,P24+1-SUM(AB$5:AB24),O24),T24),0),0))</f>
        <v>0</v>
      </c>
      <c r="V24" s="89">
        <f t="shared" si="18"/>
        <v>0</v>
      </c>
      <c r="W24" s="90" t="str">
        <f>IF(R24&gt;0,R24/(C24*(1-Podsumowanie!E$11))," ")</f>
        <v xml:space="preserve"> </v>
      </c>
      <c r="X24" s="90">
        <f t="shared" si="19"/>
        <v>0</v>
      </c>
      <c r="Y24" s="91">
        <f t="shared" si="20"/>
        <v>0</v>
      </c>
      <c r="Z24" s="90">
        <f>IF(P24-SUM(AB$5:AB24)+1&gt;0,IF(Podsumowanie!E$7&lt;B24,IF(SUM(AB$5:AB24)-Podsumowanie!E$9+1&gt;0,PMT(M24/12,P24+1-SUM(AB$5:AB24),N24),Y24),0),0)</f>
        <v>0</v>
      </c>
      <c r="AA24" s="90">
        <f t="shared" si="21"/>
        <v>0</v>
      </c>
      <c r="AB24" s="8" t="str">
        <f>IF(AND(Podsumowanie!E$7&lt;B24,SUM(AB$5:AB23)&lt;P23),1," ")</f>
        <v xml:space="preserve"> </v>
      </c>
      <c r="AD24" s="51">
        <f>IF(OR(B24&lt;Podsumowanie!E$12,Podsumowanie!E$12=""),-F24+S24,0)</f>
        <v>0</v>
      </c>
      <c r="AE24" s="51">
        <f t="shared" si="22"/>
        <v>0</v>
      </c>
      <c r="AG24" s="10">
        <f>Podsumowanie!E$4-SUM(AI$5:AI23)+SUM(W24:W$42)-SUM(X24:X$42)</f>
        <v>181357.6981355522</v>
      </c>
      <c r="AH24" s="10">
        <f t="shared" si="23"/>
        <v>0</v>
      </c>
      <c r="AI24" s="10">
        <f t="shared" si="24"/>
        <v>0</v>
      </c>
      <c r="AJ24" s="10">
        <f t="shared" si="25"/>
        <v>0</v>
      </c>
      <c r="AK24" s="10">
        <f t="shared" si="26"/>
        <v>0</v>
      </c>
      <c r="AL24" s="10">
        <f>Podsumowanie!E$2-SUM(AN$5:AN23)+SUM(R24:R$42)-SUM(S24:S$42)</f>
        <v>400000</v>
      </c>
      <c r="AM24" s="10">
        <f t="shared" si="27"/>
        <v>0</v>
      </c>
      <c r="AN24" s="10">
        <f t="shared" si="28"/>
        <v>0</v>
      </c>
      <c r="AO24" s="10">
        <f t="shared" si="29"/>
        <v>0</v>
      </c>
      <c r="AP24" s="10">
        <f t="shared" si="30"/>
        <v>0</v>
      </c>
      <c r="AR24" s="43">
        <f t="shared" si="31"/>
        <v>37834</v>
      </c>
      <c r="AS24" s="11">
        <f>AS$5+SUM(AV$5:AV23)-SUM(X$5:X24)+SUM(W$5:W24)</f>
        <v>175916.96719148563</v>
      </c>
      <c r="AT24" s="10">
        <f t="shared" si="32"/>
        <v>0</v>
      </c>
      <c r="AU24" s="10">
        <f>IF(AB24=1,IF(Q24="tak",AT24,PMT(M24/12,P24+1-SUM(AB$5:AB24),AS24)),0)</f>
        <v>0</v>
      </c>
      <c r="AV24" s="10">
        <f t="shared" si="33"/>
        <v>0</v>
      </c>
      <c r="AW24" s="10">
        <f t="shared" si="34"/>
        <v>0</v>
      </c>
      <c r="AY24" s="11">
        <f>AY$5+SUM(BA$5:BA23)+SUM(W$5:W23)-SUM(X$5:X23)</f>
        <v>175916.96719148563</v>
      </c>
      <c r="AZ24" s="11">
        <f t="shared" si="35"/>
        <v>0</v>
      </c>
      <c r="BA24" s="11">
        <f t="shared" si="36"/>
        <v>0</v>
      </c>
      <c r="BB24" s="11">
        <f t="shared" si="37"/>
        <v>0</v>
      </c>
      <c r="BC24" s="11">
        <f t="shared" si="38"/>
        <v>0</v>
      </c>
      <c r="BE24" s="172">
        <f t="shared" si="4"/>
        <v>0.0523</v>
      </c>
      <c r="BF24" s="44">
        <f>BE24+Podsumowanie!$E$6</f>
        <v>0.0643</v>
      </c>
      <c r="BG24" s="11">
        <f>BG$5+SUM(BH$5:BH23)+SUM(R$5:R23)-SUM(S$5:S23)</f>
        <v>400000</v>
      </c>
      <c r="BH24" s="10">
        <f t="shared" si="39"/>
        <v>0</v>
      </c>
      <c r="BI24" s="10">
        <f t="shared" si="40"/>
        <v>0</v>
      </c>
      <c r="BJ24" s="10">
        <f>IF(U24&lt;0,PMT(BF24/12,Podsumowanie!E$8-SUM(AB$5:AB24)+1,BG24),0)</f>
        <v>0</v>
      </c>
      <c r="BL24" s="11">
        <f>BL$5+SUM(BN$5:BN23)+SUM(R$5:R23)-SUM(S$5:S23)</f>
        <v>400000</v>
      </c>
      <c r="BM24" s="11">
        <f t="shared" si="5"/>
        <v>0</v>
      </c>
      <c r="BN24" s="11">
        <f t="shared" si="6"/>
        <v>0</v>
      </c>
      <c r="BO24" s="11">
        <f t="shared" si="7"/>
        <v>0</v>
      </c>
      <c r="BQ24" s="44">
        <f t="shared" si="8"/>
        <v>0.0644</v>
      </c>
      <c r="BR24" s="11">
        <f>BR$5+SUM(BS$5:BS23)+SUM(R$5:R23)-SUM(S$5:S23)+SUM(BV$5:BV23)</f>
        <v>400000</v>
      </c>
      <c r="BS24" s="10">
        <f t="shared" si="46"/>
        <v>0</v>
      </c>
      <c r="BT24" s="10">
        <f t="shared" si="47"/>
        <v>0</v>
      </c>
      <c r="BU24" s="10">
        <f>IF(U24&lt;0,PMT(BQ24/12,Podsumowanie!E$8-SUM(AB$5:AB24)+1,BR24),0)</f>
        <v>0</v>
      </c>
      <c r="BV24" s="10">
        <f t="shared" si="41"/>
        <v>0</v>
      </c>
      <c r="BX24" s="11">
        <f>BX$5+SUM(BZ$5:BZ23)+SUM(R$5:R23)-SUM(S$5:S23)+SUM(CB$5,CB23)</f>
        <v>400000</v>
      </c>
      <c r="BY24" s="10">
        <f t="shared" si="9"/>
        <v>0</v>
      </c>
      <c r="BZ24" s="10">
        <f t="shared" si="10"/>
        <v>0</v>
      </c>
      <c r="CA24" s="10">
        <f t="shared" si="48"/>
        <v>0</v>
      </c>
      <c r="CB24" s="10">
        <f t="shared" si="49"/>
        <v>0</v>
      </c>
      <c r="CD24" s="10">
        <f>CD$5+SUM(CE$5:CE23)+SUM(R$5:R23)-SUM(S$5:S23)-SUM(CF$5:CF23)</f>
        <v>400000</v>
      </c>
      <c r="CE24" s="10">
        <f t="shared" si="42"/>
        <v>0</v>
      </c>
      <c r="CF24" s="10">
        <f t="shared" si="43"/>
        <v>0</v>
      </c>
      <c r="CG24" s="10">
        <f t="shared" si="44"/>
        <v>0</v>
      </c>
      <c r="CI24" s="44">
        <v>0.9544</v>
      </c>
      <c r="CJ24" s="10">
        <f t="shared" si="45"/>
        <v>0</v>
      </c>
      <c r="CK24" s="4">
        <f t="shared" si="50"/>
        <v>0</v>
      </c>
      <c r="CM24" s="10">
        <f t="shared" si="51"/>
        <v>0</v>
      </c>
      <c r="CN24" s="4">
        <f t="shared" si="52"/>
        <v>0</v>
      </c>
    </row>
    <row r="25" spans="1:92" ht="15.75">
      <c r="A25" s="36"/>
      <c r="B25" s="110">
        <v>37865</v>
      </c>
      <c r="C25" s="77">
        <f t="shared" si="1"/>
        <v>2.8863</v>
      </c>
      <c r="D25" s="78">
        <f>C25*(1+Podsumowanie!E$11)</f>
        <v>2.972889</v>
      </c>
      <c r="E25" s="34">
        <f t="shared" si="11"/>
        <v>0</v>
      </c>
      <c r="F25" s="7">
        <f t="shared" si="12"/>
        <v>0</v>
      </c>
      <c r="G25" s="7">
        <f t="shared" si="13"/>
        <v>0</v>
      </c>
      <c r="H25" s="7">
        <f t="shared" si="14"/>
        <v>0</v>
      </c>
      <c r="I25" s="32"/>
      <c r="J25" s="4" t="str">
        <f t="shared" si="15"/>
        <v xml:space="preserve"> </v>
      </c>
      <c r="K25" s="4">
        <f>IF(B25&lt;Podsumowanie!E$7,0,K24+1)</f>
        <v>0</v>
      </c>
      <c r="L25" s="100">
        <f t="shared" si="2"/>
        <v>0.002667</v>
      </c>
      <c r="M25" s="38">
        <f>L25+Podsumowanie!E$6</f>
        <v>0.014667</v>
      </c>
      <c r="N25" s="101">
        <f>MAX(Podsumowanie!E$4+SUM(AA$5:AA24)-SUM(X$5:X25)+SUM(W$5:W25),0)</f>
        <v>181357.6981355522</v>
      </c>
      <c r="O25" s="102">
        <f>MAX(Podsumowanie!E$2+SUM(V$5:V24)-SUM(S$5:S25)+SUM(R$5:R25),0)</f>
        <v>400000</v>
      </c>
      <c r="P25" s="39">
        <f t="shared" si="16"/>
        <v>360</v>
      </c>
      <c r="Q25" s="40" t="str">
        <f>IF(AND(K25&gt;0,K25&lt;=Podsumowanie!E$9),"tak","nie")</f>
        <v>nie</v>
      </c>
      <c r="R25" s="41"/>
      <c r="S25" s="42"/>
      <c r="T25" s="88">
        <f t="shared" si="17"/>
        <v>0</v>
      </c>
      <c r="U25" s="89">
        <f>IF(Q25="tak",T25,IF(P25-SUM(AB$5:AB25)+1&gt;0,IF(Podsumowanie!E$7&lt;B25,IF(SUM(AB$5:AB25)-Podsumowanie!E$9+1&gt;0,PMT(M25/12,P25+1-SUM(AB$5:AB25),O25),T25),0),0))</f>
        <v>0</v>
      </c>
      <c r="V25" s="89">
        <f t="shared" si="18"/>
        <v>0</v>
      </c>
      <c r="W25" s="90" t="str">
        <f>IF(R25&gt;0,R25/(C25*(1-Podsumowanie!E$11))," ")</f>
        <v xml:space="preserve"> </v>
      </c>
      <c r="X25" s="90">
        <f t="shared" si="19"/>
        <v>0</v>
      </c>
      <c r="Y25" s="91">
        <f t="shared" si="20"/>
        <v>0</v>
      </c>
      <c r="Z25" s="90">
        <f>IF(P25-SUM(AB$5:AB25)+1&gt;0,IF(Podsumowanie!E$7&lt;B25,IF(SUM(AB$5:AB25)-Podsumowanie!E$9+1&gt;0,PMT(M25/12,P25+1-SUM(AB$5:AB25),N25),Y25),0),0)</f>
        <v>0</v>
      </c>
      <c r="AA25" s="90">
        <f t="shared" si="21"/>
        <v>0</v>
      </c>
      <c r="AB25" s="8" t="str">
        <f>IF(AND(Podsumowanie!E$7&lt;B25,SUM(AB$5:AB24)&lt;P24),1," ")</f>
        <v xml:space="preserve"> </v>
      </c>
      <c r="AD25" s="51">
        <f>IF(OR(B25&lt;Podsumowanie!E$12,Podsumowanie!E$12=""),-F25+S25,0)</f>
        <v>0</v>
      </c>
      <c r="AE25" s="51">
        <f t="shared" si="22"/>
        <v>0</v>
      </c>
      <c r="AG25" s="10">
        <f>Podsumowanie!E$4-SUM(AI$5:AI24)+SUM(W25:W$42)-SUM(X25:X$42)</f>
        <v>181357.6981355522</v>
      </c>
      <c r="AH25" s="10">
        <f t="shared" si="23"/>
        <v>0</v>
      </c>
      <c r="AI25" s="10">
        <f t="shared" si="24"/>
        <v>0</v>
      </c>
      <c r="AJ25" s="10">
        <f t="shared" si="25"/>
        <v>0</v>
      </c>
      <c r="AK25" s="10">
        <f t="shared" si="26"/>
        <v>0</v>
      </c>
      <c r="AL25" s="10">
        <f>Podsumowanie!E$2-SUM(AN$5:AN24)+SUM(R25:R$42)-SUM(S25:S$42)</f>
        <v>400000</v>
      </c>
      <c r="AM25" s="10">
        <f t="shared" si="27"/>
        <v>0</v>
      </c>
      <c r="AN25" s="10">
        <f t="shared" si="28"/>
        <v>0</v>
      </c>
      <c r="AO25" s="10">
        <f t="shared" si="29"/>
        <v>0</v>
      </c>
      <c r="AP25" s="10">
        <f t="shared" si="30"/>
        <v>0</v>
      </c>
      <c r="AR25" s="43">
        <f t="shared" si="31"/>
        <v>37865</v>
      </c>
      <c r="AS25" s="11">
        <f>AS$5+SUM(AV$5:AV24)-SUM(X$5:X25)+SUM(W$5:W25)</f>
        <v>175916.96719148563</v>
      </c>
      <c r="AT25" s="10">
        <f t="shared" si="32"/>
        <v>0</v>
      </c>
      <c r="AU25" s="10">
        <f>IF(AB25=1,IF(Q25="tak",AT25,PMT(M25/12,P25+1-SUM(AB$5:AB25),AS25)),0)</f>
        <v>0</v>
      </c>
      <c r="AV25" s="10">
        <f t="shared" si="33"/>
        <v>0</v>
      </c>
      <c r="AW25" s="10">
        <f t="shared" si="34"/>
        <v>0</v>
      </c>
      <c r="AY25" s="11">
        <f>AY$5+SUM(BA$5:BA24)+SUM(W$5:W24)-SUM(X$5:X24)</f>
        <v>175916.96719148563</v>
      </c>
      <c r="AZ25" s="11">
        <f t="shared" si="35"/>
        <v>0</v>
      </c>
      <c r="BA25" s="11">
        <f t="shared" si="36"/>
        <v>0</v>
      </c>
      <c r="BB25" s="11">
        <f t="shared" si="37"/>
        <v>0</v>
      </c>
      <c r="BC25" s="11">
        <f t="shared" si="38"/>
        <v>0</v>
      </c>
      <c r="BE25" s="172">
        <f t="shared" si="4"/>
        <v>0.0515</v>
      </c>
      <c r="BF25" s="44">
        <f>BE25+Podsumowanie!$E$6</f>
        <v>0.0635</v>
      </c>
      <c r="BG25" s="11">
        <f>BG$5+SUM(BH$5:BH24)+SUM(R$5:R24)-SUM(S$5:S24)</f>
        <v>400000</v>
      </c>
      <c r="BH25" s="10">
        <f t="shared" si="39"/>
        <v>0</v>
      </c>
      <c r="BI25" s="10">
        <f t="shared" si="40"/>
        <v>0</v>
      </c>
      <c r="BJ25" s="10">
        <f>IF(U25&lt;0,PMT(BF25/12,Podsumowanie!E$8-SUM(AB$5:AB25)+1,BG25),0)</f>
        <v>0</v>
      </c>
      <c r="BL25" s="11">
        <f>BL$5+SUM(BN$5:BN24)+SUM(R$5:R24)-SUM(S$5:S24)</f>
        <v>400000</v>
      </c>
      <c r="BM25" s="11">
        <f t="shared" si="5"/>
        <v>0</v>
      </c>
      <c r="BN25" s="11">
        <f t="shared" si="6"/>
        <v>0</v>
      </c>
      <c r="BO25" s="11">
        <f t="shared" si="7"/>
        <v>0</v>
      </c>
      <c r="BQ25" s="44">
        <f t="shared" si="8"/>
        <v>0.06359999999999999</v>
      </c>
      <c r="BR25" s="11">
        <f>BR$5+SUM(BS$5:BS24)+SUM(R$5:R24)-SUM(S$5:S24)+SUM(BV$5:BV24)</f>
        <v>400000</v>
      </c>
      <c r="BS25" s="10">
        <f t="shared" si="46"/>
        <v>0</v>
      </c>
      <c r="BT25" s="10">
        <f t="shared" si="47"/>
        <v>0</v>
      </c>
      <c r="BU25" s="10">
        <f>IF(U25&lt;0,PMT(BQ25/12,Podsumowanie!E$8-SUM(AB$5:AB25)+1,BR25),0)</f>
        <v>0</v>
      </c>
      <c r="BV25" s="10">
        <f t="shared" si="41"/>
        <v>0</v>
      </c>
      <c r="BX25" s="11">
        <f>BX$5+SUM(BZ$5:BZ24)+SUM(R$5:R24)-SUM(S$5:S24)+SUM(CB$5,CB24)</f>
        <v>400000</v>
      </c>
      <c r="BY25" s="10">
        <f t="shared" si="9"/>
        <v>0</v>
      </c>
      <c r="BZ25" s="10">
        <f t="shared" si="10"/>
        <v>0</v>
      </c>
      <c r="CA25" s="10">
        <f t="shared" si="48"/>
        <v>0</v>
      </c>
      <c r="CB25" s="10">
        <f t="shared" si="49"/>
        <v>0</v>
      </c>
      <c r="CD25" s="10">
        <f>CD$5+SUM(CE$5:CE24)+SUM(R$5:R24)-SUM(S$5:S24)-SUM(CF$5:CF24)</f>
        <v>400000</v>
      </c>
      <c r="CE25" s="10">
        <f t="shared" si="42"/>
        <v>0</v>
      </c>
      <c r="CF25" s="10">
        <f t="shared" si="43"/>
        <v>0</v>
      </c>
      <c r="CG25" s="10">
        <f t="shared" si="44"/>
        <v>0</v>
      </c>
      <c r="CI25" s="44">
        <v>0.9623</v>
      </c>
      <c r="CJ25" s="10">
        <f t="shared" si="45"/>
        <v>0</v>
      </c>
      <c r="CK25" s="4">
        <f t="shared" si="50"/>
        <v>0</v>
      </c>
      <c r="CM25" s="10">
        <f t="shared" si="51"/>
        <v>0</v>
      </c>
      <c r="CN25" s="4">
        <f t="shared" si="52"/>
        <v>0</v>
      </c>
    </row>
    <row r="26" spans="1:92" ht="15.75">
      <c r="A26" s="36"/>
      <c r="B26" s="110">
        <v>37895</v>
      </c>
      <c r="C26" s="77">
        <f t="shared" si="1"/>
        <v>2.9651</v>
      </c>
      <c r="D26" s="78">
        <f>C26*(1+Podsumowanie!E$11)</f>
        <v>3.054053</v>
      </c>
      <c r="E26" s="34">
        <f t="shared" si="11"/>
        <v>0</v>
      </c>
      <c r="F26" s="7">
        <f t="shared" si="12"/>
        <v>0</v>
      </c>
      <c r="G26" s="7">
        <f t="shared" si="13"/>
        <v>0</v>
      </c>
      <c r="H26" s="7">
        <f t="shared" si="14"/>
        <v>0</v>
      </c>
      <c r="I26" s="32"/>
      <c r="J26" s="4" t="str">
        <f t="shared" si="15"/>
        <v xml:space="preserve"> </v>
      </c>
      <c r="K26" s="4">
        <f>IF(B26&lt;Podsumowanie!E$7,0,K25+1)</f>
        <v>0</v>
      </c>
      <c r="L26" s="100">
        <f t="shared" si="2"/>
        <v>0.002433</v>
      </c>
      <c r="M26" s="38">
        <f>L26+Podsumowanie!E$6</f>
        <v>0.014433</v>
      </c>
      <c r="N26" s="101">
        <f>MAX(Podsumowanie!E$4+SUM(AA$5:AA25)-SUM(X$5:X26)+SUM(W$5:W26),0)</f>
        <v>181357.6981355522</v>
      </c>
      <c r="O26" s="102">
        <f>MAX(Podsumowanie!E$2+SUM(V$5:V25)-SUM(S$5:S26)+SUM(R$5:R26),0)</f>
        <v>400000</v>
      </c>
      <c r="P26" s="39">
        <f t="shared" si="16"/>
        <v>360</v>
      </c>
      <c r="Q26" s="40" t="str">
        <f>IF(AND(K26&gt;0,K26&lt;=Podsumowanie!E$9),"tak","nie")</f>
        <v>nie</v>
      </c>
      <c r="R26" s="41"/>
      <c r="S26" s="42"/>
      <c r="T26" s="88">
        <f t="shared" si="17"/>
        <v>0</v>
      </c>
      <c r="U26" s="89">
        <f>IF(Q26="tak",T26,IF(P26-SUM(AB$5:AB26)+1&gt;0,IF(Podsumowanie!E$7&lt;B26,IF(SUM(AB$5:AB26)-Podsumowanie!E$9+1&gt;0,PMT(M26/12,P26+1-SUM(AB$5:AB26),O26),T26),0),0))</f>
        <v>0</v>
      </c>
      <c r="V26" s="89">
        <f t="shared" si="18"/>
        <v>0</v>
      </c>
      <c r="W26" s="90" t="str">
        <f>IF(R26&gt;0,R26/(C26*(1-Podsumowanie!E$11))," ")</f>
        <v xml:space="preserve"> </v>
      </c>
      <c r="X26" s="90">
        <f t="shared" si="19"/>
        <v>0</v>
      </c>
      <c r="Y26" s="91">
        <f t="shared" si="20"/>
        <v>0</v>
      </c>
      <c r="Z26" s="90">
        <f>IF(P26-SUM(AB$5:AB26)+1&gt;0,IF(Podsumowanie!E$7&lt;B26,IF(SUM(AB$5:AB26)-Podsumowanie!E$9+1&gt;0,PMT(M26/12,P26+1-SUM(AB$5:AB26),N26),Y26),0),0)</f>
        <v>0</v>
      </c>
      <c r="AA26" s="90">
        <f t="shared" si="21"/>
        <v>0</v>
      </c>
      <c r="AB26" s="8" t="str">
        <f>IF(AND(Podsumowanie!E$7&lt;B26,SUM(AB$5:AB25)&lt;P25),1," ")</f>
        <v xml:space="preserve"> </v>
      </c>
      <c r="AD26" s="51">
        <f>IF(OR(B26&lt;Podsumowanie!E$12,Podsumowanie!E$12=""),-F26+S26,0)</f>
        <v>0</v>
      </c>
      <c r="AE26" s="51">
        <f t="shared" si="22"/>
        <v>0</v>
      </c>
      <c r="AG26" s="10">
        <f>Podsumowanie!E$4-SUM(AI$5:AI25)+SUM(W26:W$42)-SUM(X26:X$42)</f>
        <v>181357.6981355522</v>
      </c>
      <c r="AH26" s="10">
        <f t="shared" si="23"/>
        <v>0</v>
      </c>
      <c r="AI26" s="10">
        <f t="shared" si="24"/>
        <v>0</v>
      </c>
      <c r="AJ26" s="10">
        <f t="shared" si="25"/>
        <v>0</v>
      </c>
      <c r="AK26" s="10">
        <f t="shared" si="26"/>
        <v>0</v>
      </c>
      <c r="AL26" s="10">
        <f>Podsumowanie!E$2-SUM(AN$5:AN25)+SUM(R26:R$42)-SUM(S26:S$42)</f>
        <v>400000</v>
      </c>
      <c r="AM26" s="10">
        <f t="shared" si="27"/>
        <v>0</v>
      </c>
      <c r="AN26" s="10">
        <f t="shared" si="28"/>
        <v>0</v>
      </c>
      <c r="AO26" s="10">
        <f t="shared" si="29"/>
        <v>0</v>
      </c>
      <c r="AP26" s="10">
        <f t="shared" si="30"/>
        <v>0</v>
      </c>
      <c r="AR26" s="43">
        <f t="shared" si="31"/>
        <v>37895</v>
      </c>
      <c r="AS26" s="11">
        <f>AS$5+SUM(AV$5:AV25)-SUM(X$5:X26)+SUM(W$5:W26)</f>
        <v>175916.96719148563</v>
      </c>
      <c r="AT26" s="10">
        <f t="shared" si="32"/>
        <v>0</v>
      </c>
      <c r="AU26" s="10">
        <f>IF(AB26=1,IF(Q26="tak",AT26,PMT(M26/12,P26+1-SUM(AB$5:AB26),AS26)),0)</f>
        <v>0</v>
      </c>
      <c r="AV26" s="10">
        <f t="shared" si="33"/>
        <v>0</v>
      </c>
      <c r="AW26" s="10">
        <f t="shared" si="34"/>
        <v>0</v>
      </c>
      <c r="AY26" s="11">
        <f>AY$5+SUM(BA$5:BA25)+SUM(W$5:W25)-SUM(X$5:X25)</f>
        <v>175916.96719148563</v>
      </c>
      <c r="AZ26" s="11">
        <f t="shared" si="35"/>
        <v>0</v>
      </c>
      <c r="BA26" s="11">
        <f t="shared" si="36"/>
        <v>0</v>
      </c>
      <c r="BB26" s="11">
        <f t="shared" si="37"/>
        <v>0</v>
      </c>
      <c r="BC26" s="11">
        <f t="shared" si="38"/>
        <v>0</v>
      </c>
      <c r="BE26" s="172">
        <f t="shared" si="4"/>
        <v>0.0527</v>
      </c>
      <c r="BF26" s="44">
        <f>BE26+Podsumowanie!$E$6</f>
        <v>0.0647</v>
      </c>
      <c r="BG26" s="11">
        <f>BG$5+SUM(BH$5:BH25)+SUM(R$5:R25)-SUM(S$5:S25)</f>
        <v>400000</v>
      </c>
      <c r="BH26" s="10">
        <f t="shared" si="39"/>
        <v>0</v>
      </c>
      <c r="BI26" s="10">
        <f t="shared" si="40"/>
        <v>0</v>
      </c>
      <c r="BJ26" s="10">
        <f>IF(U26&lt;0,PMT(BF26/12,Podsumowanie!E$8-SUM(AB$5:AB26)+1,BG26),0)</f>
        <v>0</v>
      </c>
      <c r="BL26" s="11">
        <f>BL$5+SUM(BN$5:BN25)+SUM(R$5:R25)-SUM(S$5:S25)</f>
        <v>400000</v>
      </c>
      <c r="BM26" s="11">
        <f t="shared" si="5"/>
        <v>0</v>
      </c>
      <c r="BN26" s="11">
        <f t="shared" si="6"/>
        <v>0</v>
      </c>
      <c r="BO26" s="11">
        <f t="shared" si="7"/>
        <v>0</v>
      </c>
      <c r="BQ26" s="44">
        <f t="shared" si="8"/>
        <v>0.0648</v>
      </c>
      <c r="BR26" s="11">
        <f>BR$5+SUM(BS$5:BS25)+SUM(R$5:R25)-SUM(S$5:S25)+SUM(BV$5:BV25)</f>
        <v>400000</v>
      </c>
      <c r="BS26" s="10">
        <f t="shared" si="46"/>
        <v>0</v>
      </c>
      <c r="BT26" s="10">
        <f t="shared" si="47"/>
        <v>0</v>
      </c>
      <c r="BU26" s="10">
        <f>IF(U26&lt;0,PMT(BQ26/12,Podsumowanie!E$8-SUM(AB$5:AB26)+1,BR26),0)</f>
        <v>0</v>
      </c>
      <c r="BV26" s="10">
        <f t="shared" si="41"/>
        <v>0</v>
      </c>
      <c r="BX26" s="11">
        <f>BX$5+SUM(BZ$5:BZ25)+SUM(R$5:R25)-SUM(S$5:S25)+SUM(CB$5,CB25)</f>
        <v>400000</v>
      </c>
      <c r="BY26" s="10">
        <f t="shared" si="9"/>
        <v>0</v>
      </c>
      <c r="BZ26" s="10">
        <f t="shared" si="10"/>
        <v>0</v>
      </c>
      <c r="CA26" s="10">
        <f t="shared" si="48"/>
        <v>0</v>
      </c>
      <c r="CB26" s="10">
        <f t="shared" si="49"/>
        <v>0</v>
      </c>
      <c r="CD26" s="10">
        <f>CD$5+SUM(CE$5:CE25)+SUM(R$5:R25)-SUM(S$5:S25)-SUM(CF$5:CF25)</f>
        <v>400000</v>
      </c>
      <c r="CE26" s="10">
        <f t="shared" si="42"/>
        <v>0</v>
      </c>
      <c r="CF26" s="10">
        <f t="shared" si="43"/>
        <v>0</v>
      </c>
      <c r="CG26" s="10">
        <f t="shared" si="44"/>
        <v>0</v>
      </c>
      <c r="CI26" s="44">
        <v>0.9525</v>
      </c>
      <c r="CJ26" s="10">
        <f t="shared" si="45"/>
        <v>0</v>
      </c>
      <c r="CK26" s="4">
        <f t="shared" si="50"/>
        <v>0</v>
      </c>
      <c r="CM26" s="10">
        <f t="shared" si="51"/>
        <v>0</v>
      </c>
      <c r="CN26" s="4">
        <f t="shared" si="52"/>
        <v>0</v>
      </c>
    </row>
    <row r="27" spans="1:92" ht="15.75">
      <c r="A27" s="36"/>
      <c r="B27" s="110">
        <v>37926</v>
      </c>
      <c r="C27" s="77">
        <f t="shared" si="1"/>
        <v>2.9691</v>
      </c>
      <c r="D27" s="78">
        <f>C27*(1+Podsumowanie!E$11)</f>
        <v>3.058173</v>
      </c>
      <c r="E27" s="34">
        <f t="shared" si="11"/>
        <v>0</v>
      </c>
      <c r="F27" s="7">
        <f t="shared" si="12"/>
        <v>0</v>
      </c>
      <c r="G27" s="7">
        <f t="shared" si="13"/>
        <v>0</v>
      </c>
      <c r="H27" s="7">
        <f t="shared" si="14"/>
        <v>0</v>
      </c>
      <c r="I27" s="32"/>
      <c r="J27" s="4" t="str">
        <f t="shared" si="15"/>
        <v xml:space="preserve"> </v>
      </c>
      <c r="K27" s="4">
        <f>IF(B27&lt;Podsumowanie!E$7,0,K26+1)</f>
        <v>0</v>
      </c>
      <c r="L27" s="100">
        <f t="shared" si="2"/>
        <v>0.002492</v>
      </c>
      <c r="M27" s="38">
        <f>L27+Podsumowanie!E$6</f>
        <v>0.014492</v>
      </c>
      <c r="N27" s="101">
        <f>MAX(Podsumowanie!E$4+SUM(AA$5:AA26)-SUM(X$5:X27)+SUM(W$5:W27),0)</f>
        <v>181357.6981355522</v>
      </c>
      <c r="O27" s="102">
        <f>MAX(Podsumowanie!E$2+SUM(V$5:V26)-SUM(S$5:S27)+SUM(R$5:R27),0)</f>
        <v>400000</v>
      </c>
      <c r="P27" s="39">
        <f t="shared" si="16"/>
        <v>360</v>
      </c>
      <c r="Q27" s="40" t="str">
        <f>IF(AND(K27&gt;0,K27&lt;=Podsumowanie!E$9),"tak","nie")</f>
        <v>nie</v>
      </c>
      <c r="R27" s="41"/>
      <c r="S27" s="42"/>
      <c r="T27" s="88">
        <f t="shared" si="17"/>
        <v>0</v>
      </c>
      <c r="U27" s="89">
        <f>IF(Q27="tak",T27,IF(P27-SUM(AB$5:AB27)+1&gt;0,IF(Podsumowanie!E$7&lt;B27,IF(SUM(AB$5:AB27)-Podsumowanie!E$9+1&gt;0,PMT(M27/12,P27+1-SUM(AB$5:AB27),O27),T27),0),0))</f>
        <v>0</v>
      </c>
      <c r="V27" s="89">
        <f t="shared" si="18"/>
        <v>0</v>
      </c>
      <c r="W27" s="90" t="str">
        <f>IF(R27&gt;0,R27/(C27*(1-Podsumowanie!E$11))," ")</f>
        <v xml:space="preserve"> </v>
      </c>
      <c r="X27" s="90">
        <f t="shared" si="19"/>
        <v>0</v>
      </c>
      <c r="Y27" s="91">
        <f t="shared" si="20"/>
        <v>0</v>
      </c>
      <c r="Z27" s="90">
        <f>IF(P27-SUM(AB$5:AB27)+1&gt;0,IF(Podsumowanie!E$7&lt;B27,IF(SUM(AB$5:AB27)-Podsumowanie!E$9+1&gt;0,PMT(M27/12,P27+1-SUM(AB$5:AB27),N27),Y27),0),0)</f>
        <v>0</v>
      </c>
      <c r="AA27" s="90">
        <f t="shared" si="21"/>
        <v>0</v>
      </c>
      <c r="AB27" s="8" t="str">
        <f>IF(AND(Podsumowanie!E$7&lt;B27,SUM(AB$5:AB26)&lt;P26),1," ")</f>
        <v xml:space="preserve"> </v>
      </c>
      <c r="AD27" s="51">
        <f>IF(OR(B27&lt;Podsumowanie!E$12,Podsumowanie!E$12=""),-F27+S27,0)</f>
        <v>0</v>
      </c>
      <c r="AE27" s="51">
        <f t="shared" si="22"/>
        <v>0</v>
      </c>
      <c r="AG27" s="10">
        <f>Podsumowanie!E$4-SUM(AI$5:AI26)+SUM(W27:W$42)-SUM(X27:X$42)</f>
        <v>181357.6981355522</v>
      </c>
      <c r="AH27" s="10">
        <f t="shared" si="23"/>
        <v>0</v>
      </c>
      <c r="AI27" s="10">
        <f t="shared" si="24"/>
        <v>0</v>
      </c>
      <c r="AJ27" s="10">
        <f t="shared" si="25"/>
        <v>0</v>
      </c>
      <c r="AK27" s="10">
        <f t="shared" si="26"/>
        <v>0</v>
      </c>
      <c r="AL27" s="10">
        <f>Podsumowanie!E$2-SUM(AN$5:AN26)+SUM(R27:R$42)-SUM(S27:S$42)</f>
        <v>400000</v>
      </c>
      <c r="AM27" s="10">
        <f t="shared" si="27"/>
        <v>0</v>
      </c>
      <c r="AN27" s="10">
        <f t="shared" si="28"/>
        <v>0</v>
      </c>
      <c r="AO27" s="10">
        <f t="shared" si="29"/>
        <v>0</v>
      </c>
      <c r="AP27" s="10">
        <f t="shared" si="30"/>
        <v>0</v>
      </c>
      <c r="AR27" s="43">
        <f t="shared" si="31"/>
        <v>37926</v>
      </c>
      <c r="AS27" s="11">
        <f>AS$5+SUM(AV$5:AV26)-SUM(X$5:X27)+SUM(W$5:W27)</f>
        <v>175916.96719148563</v>
      </c>
      <c r="AT27" s="10">
        <f t="shared" si="32"/>
        <v>0</v>
      </c>
      <c r="AU27" s="10">
        <f>IF(AB27=1,IF(Q27="tak",AT27,PMT(M27/12,P27+1-SUM(AB$5:AB27),AS27)),0)</f>
        <v>0</v>
      </c>
      <c r="AV27" s="10">
        <f t="shared" si="33"/>
        <v>0</v>
      </c>
      <c r="AW27" s="10">
        <f t="shared" si="34"/>
        <v>0</v>
      </c>
      <c r="AY27" s="11">
        <f>AY$5+SUM(BA$5:BA26)+SUM(W$5:W26)-SUM(X$5:X26)</f>
        <v>175916.96719148563</v>
      </c>
      <c r="AZ27" s="11">
        <f t="shared" si="35"/>
        <v>0</v>
      </c>
      <c r="BA27" s="11">
        <f t="shared" si="36"/>
        <v>0</v>
      </c>
      <c r="BB27" s="11">
        <f t="shared" si="37"/>
        <v>0</v>
      </c>
      <c r="BC27" s="11">
        <f t="shared" si="38"/>
        <v>0</v>
      </c>
      <c r="BE27" s="172">
        <f t="shared" si="4"/>
        <v>0.0583</v>
      </c>
      <c r="BF27" s="44">
        <f>BE27+Podsumowanie!$E$6</f>
        <v>0.0703</v>
      </c>
      <c r="BG27" s="11">
        <f>BG$5+SUM(BH$5:BH26)+SUM(R$5:R26)-SUM(S$5:S26)</f>
        <v>400000</v>
      </c>
      <c r="BH27" s="10">
        <f t="shared" si="39"/>
        <v>0</v>
      </c>
      <c r="BI27" s="10">
        <f t="shared" si="40"/>
        <v>0</v>
      </c>
      <c r="BJ27" s="10">
        <f>IF(U27&lt;0,PMT(BF27/12,Podsumowanie!E$8-SUM(AB$5:AB27)+1,BG27),0)</f>
        <v>0</v>
      </c>
      <c r="BL27" s="11">
        <f>BL$5+SUM(BN$5:BN26)+SUM(R$5:R26)-SUM(S$5:S26)</f>
        <v>400000</v>
      </c>
      <c r="BM27" s="11">
        <f t="shared" si="5"/>
        <v>0</v>
      </c>
      <c r="BN27" s="11">
        <f t="shared" si="6"/>
        <v>0</v>
      </c>
      <c r="BO27" s="11">
        <f t="shared" si="7"/>
        <v>0</v>
      </c>
      <c r="BQ27" s="44">
        <f t="shared" si="8"/>
        <v>0.07039999999999999</v>
      </c>
      <c r="BR27" s="11">
        <f>BR$5+SUM(BS$5:BS26)+SUM(R$5:R26)-SUM(S$5:S26)+SUM(BV$5:BV26)</f>
        <v>400000</v>
      </c>
      <c r="BS27" s="10">
        <f t="shared" si="46"/>
        <v>0</v>
      </c>
      <c r="BT27" s="10">
        <f t="shared" si="47"/>
        <v>0</v>
      </c>
      <c r="BU27" s="10">
        <f>IF(U27&lt;0,PMT(BQ27/12,Podsumowanie!E$8-SUM(AB$5:AB27)+1,BR27),0)</f>
        <v>0</v>
      </c>
      <c r="BV27" s="10">
        <f t="shared" si="41"/>
        <v>0</v>
      </c>
      <c r="BX27" s="11">
        <f>BX$5+SUM(BZ$5:BZ26)+SUM(R$5:R26)-SUM(S$5:S26)+SUM(CB$5,CB26)</f>
        <v>400000</v>
      </c>
      <c r="BY27" s="10">
        <f t="shared" si="9"/>
        <v>0</v>
      </c>
      <c r="BZ27" s="10">
        <f t="shared" si="10"/>
        <v>0</v>
      </c>
      <c r="CA27" s="10">
        <f t="shared" si="48"/>
        <v>0</v>
      </c>
      <c r="CB27" s="10">
        <f t="shared" si="49"/>
        <v>0</v>
      </c>
      <c r="CD27" s="10">
        <f>CD$5+SUM(CE$5:CE26)+SUM(R$5:R26)-SUM(S$5:S26)-SUM(CF$5:CF26)</f>
        <v>400000</v>
      </c>
      <c r="CE27" s="10">
        <f t="shared" si="42"/>
        <v>0</v>
      </c>
      <c r="CF27" s="10">
        <f t="shared" si="43"/>
        <v>0</v>
      </c>
      <c r="CG27" s="10">
        <f t="shared" si="44"/>
        <v>0</v>
      </c>
      <c r="CI27" s="44">
        <v>0.9409</v>
      </c>
      <c r="CJ27" s="10">
        <f t="shared" si="45"/>
        <v>0</v>
      </c>
      <c r="CK27" s="4">
        <f t="shared" si="50"/>
        <v>0</v>
      </c>
      <c r="CM27" s="10">
        <f t="shared" si="51"/>
        <v>0</v>
      </c>
      <c r="CN27" s="4">
        <f t="shared" si="52"/>
        <v>0</v>
      </c>
    </row>
    <row r="28" spans="1:92" ht="15.75">
      <c r="A28" s="36"/>
      <c r="B28" s="110">
        <v>37956</v>
      </c>
      <c r="C28" s="77">
        <f t="shared" si="1"/>
        <v>2.9924</v>
      </c>
      <c r="D28" s="78">
        <f>C28*(1+Podsumowanie!E$11)</f>
        <v>3.082172</v>
      </c>
      <c r="E28" s="34">
        <f t="shared" si="11"/>
        <v>0</v>
      </c>
      <c r="F28" s="7">
        <f t="shared" si="12"/>
        <v>0</v>
      </c>
      <c r="G28" s="7">
        <f t="shared" si="13"/>
        <v>0</v>
      </c>
      <c r="H28" s="7">
        <f t="shared" si="14"/>
        <v>0</v>
      </c>
      <c r="I28" s="32"/>
      <c r="J28" s="4" t="str">
        <f t="shared" si="15"/>
        <v xml:space="preserve"> </v>
      </c>
      <c r="K28" s="4">
        <f>IF(B28&lt;Podsumowanie!E$7,0,K27+1)</f>
        <v>0</v>
      </c>
      <c r="L28" s="100">
        <f t="shared" si="2"/>
        <v>0.002733</v>
      </c>
      <c r="M28" s="38">
        <f>L28+Podsumowanie!E$6</f>
        <v>0.014733</v>
      </c>
      <c r="N28" s="101">
        <f>MAX(Podsumowanie!E$4+SUM(AA$5:AA27)-SUM(X$5:X28)+SUM(W$5:W28),0)</f>
        <v>181357.6981355522</v>
      </c>
      <c r="O28" s="102">
        <f>MAX(Podsumowanie!E$2+SUM(V$5:V27)-SUM(S$5:S28)+SUM(R$5:R28),0)</f>
        <v>400000</v>
      </c>
      <c r="P28" s="39">
        <f t="shared" si="16"/>
        <v>360</v>
      </c>
      <c r="Q28" s="40" t="str">
        <f>IF(AND(K28&gt;0,K28&lt;=Podsumowanie!E$9),"tak","nie")</f>
        <v>nie</v>
      </c>
      <c r="R28" s="41"/>
      <c r="S28" s="42"/>
      <c r="T28" s="88">
        <f t="shared" si="17"/>
        <v>0</v>
      </c>
      <c r="U28" s="89">
        <f>IF(Q28="tak",T28,IF(P28-SUM(AB$5:AB28)+1&gt;0,IF(Podsumowanie!E$7&lt;B28,IF(SUM(AB$5:AB28)-Podsumowanie!E$9+1&gt;0,PMT(M28/12,P28+1-SUM(AB$5:AB28),O28),T28),0),0))</f>
        <v>0</v>
      </c>
      <c r="V28" s="89">
        <f t="shared" si="18"/>
        <v>0</v>
      </c>
      <c r="W28" s="90" t="str">
        <f>IF(R28&gt;0,R28/(C28*(1-Podsumowanie!E$11))," ")</f>
        <v xml:space="preserve"> </v>
      </c>
      <c r="X28" s="90">
        <f t="shared" si="19"/>
        <v>0</v>
      </c>
      <c r="Y28" s="91">
        <f t="shared" si="20"/>
        <v>0</v>
      </c>
      <c r="Z28" s="90">
        <f>IF(P28-SUM(AB$5:AB28)+1&gt;0,IF(Podsumowanie!E$7&lt;B28,IF(SUM(AB$5:AB28)-Podsumowanie!E$9+1&gt;0,PMT(M28/12,P28+1-SUM(AB$5:AB28),N28),Y28),0),0)</f>
        <v>0</v>
      </c>
      <c r="AA28" s="90">
        <f t="shared" si="21"/>
        <v>0</v>
      </c>
      <c r="AB28" s="8" t="str">
        <f>IF(AND(Podsumowanie!E$7&lt;B28,SUM(AB$5:AB27)&lt;P27),1," ")</f>
        <v xml:space="preserve"> </v>
      </c>
      <c r="AD28" s="51">
        <f>IF(OR(B28&lt;Podsumowanie!E$12,Podsumowanie!E$12=""),-F28+S28,0)</f>
        <v>0</v>
      </c>
      <c r="AE28" s="51">
        <f t="shared" si="22"/>
        <v>0</v>
      </c>
      <c r="AG28" s="10">
        <f>Podsumowanie!E$4-SUM(AI$5:AI27)+SUM(W28:W$42)-SUM(X28:X$42)</f>
        <v>181357.6981355522</v>
      </c>
      <c r="AH28" s="10">
        <f t="shared" si="23"/>
        <v>0</v>
      </c>
      <c r="AI28" s="10">
        <f t="shared" si="24"/>
        <v>0</v>
      </c>
      <c r="AJ28" s="10">
        <f t="shared" si="25"/>
        <v>0</v>
      </c>
      <c r="AK28" s="10">
        <f t="shared" si="26"/>
        <v>0</v>
      </c>
      <c r="AL28" s="10">
        <f>Podsumowanie!E$2-SUM(AN$5:AN27)+SUM(R28:R$42)-SUM(S28:S$42)</f>
        <v>400000</v>
      </c>
      <c r="AM28" s="10">
        <f t="shared" si="27"/>
        <v>0</v>
      </c>
      <c r="AN28" s="10">
        <f t="shared" si="28"/>
        <v>0</v>
      </c>
      <c r="AO28" s="10">
        <f t="shared" si="29"/>
        <v>0</v>
      </c>
      <c r="AP28" s="10">
        <f t="shared" si="30"/>
        <v>0</v>
      </c>
      <c r="AR28" s="43">
        <f t="shared" si="31"/>
        <v>37956</v>
      </c>
      <c r="AS28" s="11">
        <f>AS$5+SUM(AV$5:AV27)-SUM(X$5:X28)+SUM(W$5:W28)</f>
        <v>175916.96719148563</v>
      </c>
      <c r="AT28" s="10">
        <f t="shared" si="32"/>
        <v>0</v>
      </c>
      <c r="AU28" s="10">
        <f>IF(AB28=1,IF(Q28="tak",AT28,PMT(M28/12,P28+1-SUM(AB$5:AB28),AS28)),0)</f>
        <v>0</v>
      </c>
      <c r="AV28" s="10">
        <f t="shared" si="33"/>
        <v>0</v>
      </c>
      <c r="AW28" s="10">
        <f t="shared" si="34"/>
        <v>0</v>
      </c>
      <c r="AY28" s="11">
        <f>AY$5+SUM(BA$5:BA27)+SUM(W$5:W27)-SUM(X$5:X27)</f>
        <v>175916.96719148563</v>
      </c>
      <c r="AZ28" s="11">
        <f t="shared" si="35"/>
        <v>0</v>
      </c>
      <c r="BA28" s="11">
        <f t="shared" si="36"/>
        <v>0</v>
      </c>
      <c r="BB28" s="11">
        <f t="shared" si="37"/>
        <v>0</v>
      </c>
      <c r="BC28" s="11">
        <f t="shared" si="38"/>
        <v>0</v>
      </c>
      <c r="BE28" s="172">
        <f t="shared" si="4"/>
        <v>0.0586</v>
      </c>
      <c r="BF28" s="44">
        <f>BE28+Podsumowanie!$E$6</f>
        <v>0.0706</v>
      </c>
      <c r="BG28" s="11">
        <f>BG$5+SUM(BH$5:BH27)+SUM(R$5:R27)-SUM(S$5:S27)</f>
        <v>400000</v>
      </c>
      <c r="BH28" s="10">
        <f t="shared" si="39"/>
        <v>0</v>
      </c>
      <c r="BI28" s="10">
        <f t="shared" si="40"/>
        <v>0</v>
      </c>
      <c r="BJ28" s="10">
        <f>IF(U28&lt;0,PMT(BF28/12,Podsumowanie!E$8-SUM(AB$5:AB28)+1,BG28),0)</f>
        <v>0</v>
      </c>
      <c r="BL28" s="11">
        <f>BL$5+SUM(BN$5:BN27)+SUM(R$5:R27)-SUM(S$5:S27)</f>
        <v>400000</v>
      </c>
      <c r="BM28" s="11">
        <f t="shared" si="5"/>
        <v>0</v>
      </c>
      <c r="BN28" s="11">
        <f t="shared" si="6"/>
        <v>0</v>
      </c>
      <c r="BO28" s="11">
        <f t="shared" si="7"/>
        <v>0</v>
      </c>
      <c r="BQ28" s="44">
        <f t="shared" si="8"/>
        <v>0.0707</v>
      </c>
      <c r="BR28" s="11">
        <f>BR$5+SUM(BS$5:BS27)+SUM(R$5:R27)-SUM(S$5:S27)+SUM(BV$5:BV27)</f>
        <v>400000</v>
      </c>
      <c r="BS28" s="10">
        <f t="shared" si="46"/>
        <v>0</v>
      </c>
      <c r="BT28" s="10">
        <f t="shared" si="47"/>
        <v>0</v>
      </c>
      <c r="BU28" s="10">
        <f>IF(U28&lt;0,PMT(BQ28/12,Podsumowanie!E$8-SUM(AB$5:AB28)+1,BR28),0)</f>
        <v>0</v>
      </c>
      <c r="BV28" s="10">
        <f t="shared" si="41"/>
        <v>0</v>
      </c>
      <c r="BX28" s="11">
        <f>BX$5+SUM(BZ$5:BZ27)+SUM(R$5:R27)-SUM(S$5:S27)+SUM(CB$5,CB27)</f>
        <v>400000</v>
      </c>
      <c r="BY28" s="10">
        <f t="shared" si="9"/>
        <v>0</v>
      </c>
      <c r="BZ28" s="10">
        <f t="shared" si="10"/>
        <v>0</v>
      </c>
      <c r="CA28" s="10">
        <f t="shared" si="48"/>
        <v>0</v>
      </c>
      <c r="CB28" s="10">
        <f t="shared" si="49"/>
        <v>0</v>
      </c>
      <c r="CD28" s="10">
        <f>CD$5+SUM(CE$5:CE27)+SUM(R$5:R27)-SUM(S$5:S27)-SUM(CF$5:CF27)</f>
        <v>400000</v>
      </c>
      <c r="CE28" s="10">
        <f t="shared" si="42"/>
        <v>0</v>
      </c>
      <c r="CF28" s="10">
        <f t="shared" si="43"/>
        <v>0</v>
      </c>
      <c r="CG28" s="10">
        <f t="shared" si="44"/>
        <v>0</v>
      </c>
      <c r="CI28" s="44">
        <v>0.935</v>
      </c>
      <c r="CJ28" s="10">
        <f t="shared" si="45"/>
        <v>0</v>
      </c>
      <c r="CK28" s="4">
        <f t="shared" si="50"/>
        <v>0</v>
      </c>
      <c r="CM28" s="10">
        <f t="shared" si="51"/>
        <v>0</v>
      </c>
      <c r="CN28" s="4">
        <f t="shared" si="52"/>
        <v>0</v>
      </c>
    </row>
    <row r="29" spans="1:92" ht="15.75">
      <c r="A29" s="36">
        <v>2004</v>
      </c>
      <c r="B29" s="37">
        <v>37987</v>
      </c>
      <c r="C29" s="77">
        <f t="shared" si="1"/>
        <v>3.0099</v>
      </c>
      <c r="D29" s="78">
        <f>C29*(1+Podsumowanie!E$11)</f>
        <v>3.100197</v>
      </c>
      <c r="E29" s="34">
        <f t="shared" si="11"/>
        <v>0</v>
      </c>
      <c r="F29" s="7">
        <f t="shared" si="12"/>
        <v>0</v>
      </c>
      <c r="G29" s="7">
        <f t="shared" si="13"/>
        <v>0</v>
      </c>
      <c r="H29" s="7">
        <f t="shared" si="14"/>
        <v>0</v>
      </c>
      <c r="I29" s="32"/>
      <c r="J29" s="4" t="str">
        <f t="shared" si="15"/>
        <v xml:space="preserve"> </v>
      </c>
      <c r="K29" s="4">
        <f>IF(B29&lt;Podsumowanie!E$7,0,K28+1)</f>
        <v>0</v>
      </c>
      <c r="L29" s="100">
        <f t="shared" si="2"/>
        <v>0.0026</v>
      </c>
      <c r="M29" s="38">
        <f>L29+Podsumowanie!E$6</f>
        <v>0.0146</v>
      </c>
      <c r="N29" s="101">
        <f>MAX(Podsumowanie!E$4+SUM(AA$5:AA28)-SUM(X$5:X29)+SUM(W$5:W29),0)</f>
        <v>181357.6981355522</v>
      </c>
      <c r="O29" s="102">
        <f>MAX(Podsumowanie!E$2+SUM(V$5:V28)-SUM(S$5:S29)+SUM(R$5:R29),0)</f>
        <v>400000</v>
      </c>
      <c r="P29" s="39">
        <f t="shared" si="16"/>
        <v>360</v>
      </c>
      <c r="Q29" s="40" t="str">
        <f>IF(AND(K29&gt;0,K29&lt;=Podsumowanie!E$9),"tak","nie")</f>
        <v>nie</v>
      </c>
      <c r="R29" s="41"/>
      <c r="S29" s="42"/>
      <c r="T29" s="88">
        <f t="shared" si="17"/>
        <v>0</v>
      </c>
      <c r="U29" s="89">
        <f>IF(Q29="tak",T29,IF(P29-SUM(AB$5:AB29)+1&gt;0,IF(Podsumowanie!E$7&lt;B29,IF(SUM(AB$5:AB29)-Podsumowanie!E$9+1&gt;0,PMT(M29/12,P29+1-SUM(AB$5:AB29),O29),T29),0),0))</f>
        <v>0</v>
      </c>
      <c r="V29" s="89">
        <f t="shared" si="18"/>
        <v>0</v>
      </c>
      <c r="W29" s="90" t="str">
        <f>IF(R29&gt;0,R29/(C29*(1-Podsumowanie!E$11))," ")</f>
        <v xml:space="preserve"> </v>
      </c>
      <c r="X29" s="90">
        <f t="shared" si="19"/>
        <v>0</v>
      </c>
      <c r="Y29" s="91">
        <f t="shared" si="20"/>
        <v>0</v>
      </c>
      <c r="Z29" s="90">
        <f>IF(P29-SUM(AB$5:AB29)+1&gt;0,IF(Podsumowanie!E$7&lt;B29,IF(SUM(AB$5:AB29)-Podsumowanie!E$9+1&gt;0,PMT(M29/12,P29+1-SUM(AB$5:AB29),N29),Y29),0),0)</f>
        <v>0</v>
      </c>
      <c r="AA29" s="90">
        <f t="shared" si="21"/>
        <v>0</v>
      </c>
      <c r="AB29" s="8" t="str">
        <f>IF(AND(Podsumowanie!E$7&lt;B29,SUM(AB$5:AB28)&lt;P28),1," ")</f>
        <v xml:space="preserve"> </v>
      </c>
      <c r="AD29" s="51">
        <f>IF(OR(B29&lt;Podsumowanie!E$12,Podsumowanie!E$12=""),-F29+S29,0)</f>
        <v>0</v>
      </c>
      <c r="AE29" s="51">
        <f t="shared" si="22"/>
        <v>0</v>
      </c>
      <c r="AG29" s="10">
        <f>Podsumowanie!E$4-SUM(AI$5:AI28)+SUM(W29:W$42)-SUM(X29:X$42)</f>
        <v>181357.6981355522</v>
      </c>
      <c r="AH29" s="10">
        <f t="shared" si="23"/>
        <v>0</v>
      </c>
      <c r="AI29" s="10">
        <f t="shared" si="24"/>
        <v>0</v>
      </c>
      <c r="AJ29" s="10">
        <f t="shared" si="25"/>
        <v>0</v>
      </c>
      <c r="AK29" s="10">
        <f t="shared" si="26"/>
        <v>0</v>
      </c>
      <c r="AL29" s="10">
        <f>Podsumowanie!E$2-SUM(AN$5:AN28)+SUM(R29:R$42)-SUM(S29:S$42)</f>
        <v>400000</v>
      </c>
      <c r="AM29" s="10">
        <f t="shared" si="27"/>
        <v>0</v>
      </c>
      <c r="AN29" s="10">
        <f t="shared" si="28"/>
        <v>0</v>
      </c>
      <c r="AO29" s="10">
        <f t="shared" si="29"/>
        <v>0</v>
      </c>
      <c r="AP29" s="10">
        <f t="shared" si="30"/>
        <v>0</v>
      </c>
      <c r="AR29" s="43">
        <f t="shared" si="31"/>
        <v>37987</v>
      </c>
      <c r="AS29" s="11">
        <f>AS$5+SUM(AV$5:AV28)-SUM(X$5:X29)+SUM(W$5:W29)</f>
        <v>175916.96719148563</v>
      </c>
      <c r="AT29" s="10">
        <f t="shared" si="32"/>
        <v>0</v>
      </c>
      <c r="AU29" s="10">
        <f>IF(AB29=1,IF(Q29="tak",AT29,PMT(M29/12,P29+1-SUM(AB$5:AB29),AS29)),0)</f>
        <v>0</v>
      </c>
      <c r="AV29" s="10">
        <f t="shared" si="33"/>
        <v>0</v>
      </c>
      <c r="AW29" s="10">
        <f t="shared" si="34"/>
        <v>0</v>
      </c>
      <c r="AY29" s="11">
        <f>AY$5+SUM(BA$5:BA28)+SUM(W$5:W28)-SUM(X$5:X28)</f>
        <v>175916.96719148563</v>
      </c>
      <c r="AZ29" s="11">
        <f t="shared" si="35"/>
        <v>0</v>
      </c>
      <c r="BA29" s="11">
        <f t="shared" si="36"/>
        <v>0</v>
      </c>
      <c r="BB29" s="11">
        <f t="shared" si="37"/>
        <v>0</v>
      </c>
      <c r="BC29" s="11">
        <f t="shared" si="38"/>
        <v>0</v>
      </c>
      <c r="BE29" s="172">
        <f t="shared" si="4"/>
        <v>0.0552</v>
      </c>
      <c r="BF29" s="44">
        <f>BE29+Podsumowanie!$E$6</f>
        <v>0.0672</v>
      </c>
      <c r="BG29" s="11">
        <f>BG$5+SUM(BH$5:BH28)+SUM(R$5:R28)-SUM(S$5:S28)</f>
        <v>400000</v>
      </c>
      <c r="BH29" s="10">
        <f t="shared" si="39"/>
        <v>0</v>
      </c>
      <c r="BI29" s="10">
        <f t="shared" si="40"/>
        <v>0</v>
      </c>
      <c r="BJ29" s="10">
        <f>IF(U29&lt;0,PMT(BF29/12,Podsumowanie!E$8-SUM(AB$5:AB29)+1,BG29),0)</f>
        <v>0</v>
      </c>
      <c r="BL29" s="11">
        <f>BL$5+SUM(BN$5:BN28)+SUM(R$5:R28)-SUM(S$5:S28)</f>
        <v>400000</v>
      </c>
      <c r="BM29" s="11">
        <f t="shared" si="5"/>
        <v>0</v>
      </c>
      <c r="BN29" s="11">
        <f t="shared" si="6"/>
        <v>0</v>
      </c>
      <c r="BO29" s="11">
        <f t="shared" si="7"/>
        <v>0</v>
      </c>
      <c r="BQ29" s="44">
        <f t="shared" si="8"/>
        <v>0.0673</v>
      </c>
      <c r="BR29" s="11">
        <f>BR$5+SUM(BS$5:BS28)+SUM(R$5:R28)-SUM(S$5:S28)+SUM(BV$5:BV28)</f>
        <v>400000</v>
      </c>
      <c r="BS29" s="10">
        <f t="shared" si="46"/>
        <v>0</v>
      </c>
      <c r="BT29" s="10">
        <f t="shared" si="47"/>
        <v>0</v>
      </c>
      <c r="BU29" s="10">
        <f>IF(U29&lt;0,PMT(BQ29/12,Podsumowanie!E$8-SUM(AB$5:AB29)+1,BR29),0)</f>
        <v>0</v>
      </c>
      <c r="BV29" s="10">
        <f t="shared" si="41"/>
        <v>0</v>
      </c>
      <c r="BX29" s="11">
        <f>BX$5+SUM(BZ$5:BZ28)+SUM(R$5:R28)-SUM(S$5:S28)+SUM(CB$5,CB28)</f>
        <v>400000</v>
      </c>
      <c r="BY29" s="10">
        <f t="shared" si="9"/>
        <v>0</v>
      </c>
      <c r="BZ29" s="10">
        <f t="shared" si="10"/>
        <v>0</v>
      </c>
      <c r="CA29" s="10">
        <f t="shared" si="48"/>
        <v>0</v>
      </c>
      <c r="CB29" s="10">
        <f t="shared" si="49"/>
        <v>0</v>
      </c>
      <c r="CD29" s="10">
        <f>CD$5+SUM(CE$5:CE28)+SUM(R$5:R28)-SUM(S$5:S28)-SUM(CF$5:CF28)</f>
        <v>400000</v>
      </c>
      <c r="CE29" s="10">
        <f t="shared" si="42"/>
        <v>0</v>
      </c>
      <c r="CF29" s="10">
        <f t="shared" si="43"/>
        <v>0</v>
      </c>
      <c r="CG29" s="10">
        <f t="shared" si="44"/>
        <v>0</v>
      </c>
      <c r="CI29" s="44">
        <v>0.9312</v>
      </c>
      <c r="CJ29" s="10">
        <f t="shared" si="45"/>
        <v>0</v>
      </c>
      <c r="CK29" s="4">
        <f t="shared" si="50"/>
        <v>0</v>
      </c>
      <c r="CM29" s="10">
        <f t="shared" si="51"/>
        <v>0</v>
      </c>
      <c r="CN29" s="4">
        <f t="shared" si="52"/>
        <v>0</v>
      </c>
    </row>
    <row r="30" spans="1:92" ht="15.75">
      <c r="A30" s="36"/>
      <c r="B30" s="37">
        <v>38018</v>
      </c>
      <c r="C30" s="77">
        <f t="shared" si="1"/>
        <v>3.0846</v>
      </c>
      <c r="D30" s="78">
        <f>C30*(1+Podsumowanie!E$11)</f>
        <v>3.1771380000000002</v>
      </c>
      <c r="E30" s="34">
        <f t="shared" si="11"/>
        <v>0</v>
      </c>
      <c r="F30" s="7">
        <f t="shared" si="12"/>
        <v>0</v>
      </c>
      <c r="G30" s="7">
        <f t="shared" si="13"/>
        <v>0</v>
      </c>
      <c r="H30" s="7">
        <f t="shared" si="14"/>
        <v>0</v>
      </c>
      <c r="I30" s="32"/>
      <c r="J30" s="4" t="str">
        <f t="shared" si="15"/>
        <v xml:space="preserve"> </v>
      </c>
      <c r="K30" s="4">
        <f>IF(B30&lt;Podsumowanie!E$7,0,K29+1)</f>
        <v>0</v>
      </c>
      <c r="L30" s="100">
        <f t="shared" si="2"/>
        <v>0.00245</v>
      </c>
      <c r="M30" s="38">
        <f>L30+Podsumowanie!E$6</f>
        <v>0.014450000000000001</v>
      </c>
      <c r="N30" s="101">
        <f>MAX(Podsumowanie!E$4+SUM(AA$5:AA29)-SUM(X$5:X30)+SUM(W$5:W30),0)</f>
        <v>181357.6981355522</v>
      </c>
      <c r="O30" s="102">
        <f>MAX(Podsumowanie!E$2+SUM(V$5:V29)-SUM(S$5:S30)+SUM(R$5:R30),0)</f>
        <v>400000</v>
      </c>
      <c r="P30" s="39">
        <f t="shared" si="16"/>
        <v>360</v>
      </c>
      <c r="Q30" s="40" t="str">
        <f>IF(AND(K30&gt;0,K30&lt;=Podsumowanie!E$9),"tak","nie")</f>
        <v>nie</v>
      </c>
      <c r="R30" s="41"/>
      <c r="S30" s="42"/>
      <c r="T30" s="88">
        <f t="shared" si="17"/>
        <v>0</v>
      </c>
      <c r="U30" s="89">
        <f>IF(Q30="tak",T30,IF(P30-SUM(AB$5:AB30)+1&gt;0,IF(Podsumowanie!E$7&lt;B30,IF(SUM(AB$5:AB30)-Podsumowanie!E$9+1&gt;0,PMT(M30/12,P30+1-SUM(AB$5:AB30),O30),T30),0),0))</f>
        <v>0</v>
      </c>
      <c r="V30" s="89">
        <f t="shared" si="18"/>
        <v>0</v>
      </c>
      <c r="W30" s="90" t="str">
        <f>IF(R30&gt;0,R30/(C30*(1-Podsumowanie!E$11))," ")</f>
        <v xml:space="preserve"> </v>
      </c>
      <c r="X30" s="90">
        <f t="shared" si="19"/>
        <v>0</v>
      </c>
      <c r="Y30" s="91">
        <f t="shared" si="20"/>
        <v>0</v>
      </c>
      <c r="Z30" s="90">
        <f>IF(P30-SUM(AB$5:AB30)+1&gt;0,IF(Podsumowanie!E$7&lt;B30,IF(SUM(AB$5:AB30)-Podsumowanie!E$9+1&gt;0,PMT(M30/12,P30+1-SUM(AB$5:AB30),N30),Y30),0),0)</f>
        <v>0</v>
      </c>
      <c r="AA30" s="90">
        <f t="shared" si="21"/>
        <v>0</v>
      </c>
      <c r="AB30" s="8" t="str">
        <f>IF(AND(Podsumowanie!E$7&lt;B30,SUM(AB$5:AB29)&lt;P29),1," ")</f>
        <v xml:space="preserve"> </v>
      </c>
      <c r="AD30" s="51">
        <f>IF(OR(B30&lt;Podsumowanie!E$12,Podsumowanie!E$12=""),-F30+S30,0)</f>
        <v>0</v>
      </c>
      <c r="AE30" s="51">
        <f t="shared" si="22"/>
        <v>0</v>
      </c>
      <c r="AG30" s="10">
        <f>Podsumowanie!E$4-SUM(AI$5:AI29)+SUM(W30:W$42)-SUM(X30:X$42)</f>
        <v>181357.6981355522</v>
      </c>
      <c r="AH30" s="10">
        <f t="shared" si="23"/>
        <v>0</v>
      </c>
      <c r="AI30" s="10">
        <f t="shared" si="24"/>
        <v>0</v>
      </c>
      <c r="AJ30" s="10">
        <f t="shared" si="25"/>
        <v>0</v>
      </c>
      <c r="AK30" s="10">
        <f t="shared" si="26"/>
        <v>0</v>
      </c>
      <c r="AL30" s="10">
        <f>Podsumowanie!E$2-SUM(AN$5:AN29)+SUM(R30:R$42)-SUM(S30:S$42)</f>
        <v>400000</v>
      </c>
      <c r="AM30" s="10">
        <f t="shared" si="27"/>
        <v>0</v>
      </c>
      <c r="AN30" s="10">
        <f t="shared" si="28"/>
        <v>0</v>
      </c>
      <c r="AO30" s="10">
        <f t="shared" si="29"/>
        <v>0</v>
      </c>
      <c r="AP30" s="10">
        <f t="shared" si="30"/>
        <v>0</v>
      </c>
      <c r="AR30" s="43">
        <f t="shared" si="31"/>
        <v>38018</v>
      </c>
      <c r="AS30" s="11">
        <f>AS$5+SUM(AV$5:AV29)-SUM(X$5:X30)+SUM(W$5:W30)</f>
        <v>175916.96719148563</v>
      </c>
      <c r="AT30" s="10">
        <f t="shared" si="32"/>
        <v>0</v>
      </c>
      <c r="AU30" s="10">
        <f>IF(AB30=1,IF(Q30="tak",AT30,PMT(M30/12,P30+1-SUM(AB$5:AB30),AS30)),0)</f>
        <v>0</v>
      </c>
      <c r="AV30" s="10">
        <f t="shared" si="33"/>
        <v>0</v>
      </c>
      <c r="AW30" s="10">
        <f t="shared" si="34"/>
        <v>0</v>
      </c>
      <c r="AY30" s="11">
        <f>AY$5+SUM(BA$5:BA29)+SUM(W$5:W29)-SUM(X$5:X29)</f>
        <v>175916.96719148563</v>
      </c>
      <c r="AZ30" s="11">
        <f t="shared" si="35"/>
        <v>0</v>
      </c>
      <c r="BA30" s="11">
        <f t="shared" si="36"/>
        <v>0</v>
      </c>
      <c r="BB30" s="11">
        <f t="shared" si="37"/>
        <v>0</v>
      </c>
      <c r="BC30" s="11">
        <f t="shared" si="38"/>
        <v>0</v>
      </c>
      <c r="BE30" s="172">
        <f t="shared" si="4"/>
        <v>0.055</v>
      </c>
      <c r="BF30" s="44">
        <f>BE30+Podsumowanie!$E$6</f>
        <v>0.067</v>
      </c>
      <c r="BG30" s="11">
        <f>BG$5+SUM(BH$5:BH29)+SUM(R$5:R29)-SUM(S$5:S29)</f>
        <v>400000</v>
      </c>
      <c r="BH30" s="10">
        <f t="shared" si="39"/>
        <v>0</v>
      </c>
      <c r="BI30" s="10">
        <f t="shared" si="40"/>
        <v>0</v>
      </c>
      <c r="BJ30" s="10">
        <f>IF(U30&lt;0,PMT(BF30/12,Podsumowanie!E$8-SUM(AB$5:AB30)+1,BG30),0)</f>
        <v>0</v>
      </c>
      <c r="BL30" s="11">
        <f>BL$5+SUM(BN$5:BN29)+SUM(R$5:R29)-SUM(S$5:S29)</f>
        <v>400000</v>
      </c>
      <c r="BM30" s="11">
        <f t="shared" si="5"/>
        <v>0</v>
      </c>
      <c r="BN30" s="11">
        <f t="shared" si="6"/>
        <v>0</v>
      </c>
      <c r="BO30" s="11">
        <f t="shared" si="7"/>
        <v>0</v>
      </c>
      <c r="BQ30" s="44">
        <f t="shared" si="8"/>
        <v>0.06709999999999999</v>
      </c>
      <c r="BR30" s="11">
        <f>BR$5+SUM(BS$5:BS29)+SUM(R$5:R29)-SUM(S$5:S29)+SUM(BV$5:BV29)</f>
        <v>400000</v>
      </c>
      <c r="BS30" s="10">
        <f t="shared" si="46"/>
        <v>0</v>
      </c>
      <c r="BT30" s="10">
        <f t="shared" si="47"/>
        <v>0</v>
      </c>
      <c r="BU30" s="10">
        <f>IF(U30&lt;0,PMT(BQ30/12,Podsumowanie!E$8-SUM(AB$5:AB30)+1,BR30),0)</f>
        <v>0</v>
      </c>
      <c r="BV30" s="10">
        <f t="shared" si="41"/>
        <v>0</v>
      </c>
      <c r="BX30" s="11">
        <f>BX$5+SUM(BZ$5:BZ29)+SUM(R$5:R29)-SUM(S$5:S29)+SUM(CB$5,CB29)</f>
        <v>400000</v>
      </c>
      <c r="BY30" s="10">
        <f t="shared" si="9"/>
        <v>0</v>
      </c>
      <c r="BZ30" s="10">
        <f t="shared" si="10"/>
        <v>0</v>
      </c>
      <c r="CA30" s="10">
        <f t="shared" si="48"/>
        <v>0</v>
      </c>
      <c r="CB30" s="10">
        <f t="shared" si="49"/>
        <v>0</v>
      </c>
      <c r="CD30" s="10">
        <f>CD$5+SUM(CE$5:CE29)+SUM(R$5:R29)-SUM(S$5:S29)-SUM(CF$5:CF29)</f>
        <v>400000</v>
      </c>
      <c r="CE30" s="10">
        <f t="shared" si="42"/>
        <v>0</v>
      </c>
      <c r="CF30" s="10">
        <f t="shared" si="43"/>
        <v>0</v>
      </c>
      <c r="CG30" s="10">
        <f t="shared" si="44"/>
        <v>0</v>
      </c>
      <c r="CI30" s="44">
        <v>0.9235</v>
      </c>
      <c r="CJ30" s="10">
        <f t="shared" si="45"/>
        <v>0</v>
      </c>
      <c r="CK30" s="4">
        <f t="shared" si="50"/>
        <v>0</v>
      </c>
      <c r="CM30" s="10">
        <f t="shared" si="51"/>
        <v>0</v>
      </c>
      <c r="CN30" s="4">
        <f t="shared" si="52"/>
        <v>0</v>
      </c>
    </row>
    <row r="31" spans="1:92" ht="15.75">
      <c r="A31" s="36"/>
      <c r="B31" s="37">
        <v>38047</v>
      </c>
      <c r="C31" s="77">
        <f t="shared" si="1"/>
        <v>3.0444</v>
      </c>
      <c r="D31" s="78">
        <f>C31*(1+Podsumowanie!E$11)</f>
        <v>3.135732</v>
      </c>
      <c r="E31" s="34">
        <f t="shared" si="11"/>
        <v>0</v>
      </c>
      <c r="F31" s="7">
        <f t="shared" si="12"/>
        <v>0</v>
      </c>
      <c r="G31" s="7">
        <f t="shared" si="13"/>
        <v>0</v>
      </c>
      <c r="H31" s="7">
        <f t="shared" si="14"/>
        <v>0</v>
      </c>
      <c r="I31" s="32"/>
      <c r="J31" s="4" t="str">
        <f t="shared" si="15"/>
        <v xml:space="preserve"> </v>
      </c>
      <c r="K31" s="4">
        <f>IF(B31&lt;Podsumowanie!E$7,0,K30+1)</f>
        <v>0</v>
      </c>
      <c r="L31" s="100">
        <f t="shared" si="2"/>
        <v>0.0026</v>
      </c>
      <c r="M31" s="38">
        <f>L31+Podsumowanie!E$6</f>
        <v>0.0146</v>
      </c>
      <c r="N31" s="101">
        <f>MAX(Podsumowanie!E$4+SUM(AA$5:AA30)-SUM(X$5:X31)+SUM(W$5:W31),0)</f>
        <v>181357.6981355522</v>
      </c>
      <c r="O31" s="102">
        <f>MAX(Podsumowanie!E$2+SUM(V$5:V30)-SUM(S$5:S31)+SUM(R$5:R31),0)</f>
        <v>400000</v>
      </c>
      <c r="P31" s="39">
        <f t="shared" si="16"/>
        <v>360</v>
      </c>
      <c r="Q31" s="40" t="str">
        <f>IF(AND(K31&gt;0,K31&lt;=Podsumowanie!E$9),"tak","nie")</f>
        <v>nie</v>
      </c>
      <c r="R31" s="41"/>
      <c r="S31" s="42"/>
      <c r="T31" s="88">
        <f t="shared" si="17"/>
        <v>0</v>
      </c>
      <c r="U31" s="89">
        <f>IF(Q31="tak",T31,IF(P31-SUM(AB$5:AB31)+1&gt;0,IF(Podsumowanie!E$7&lt;B31,IF(SUM(AB$5:AB31)-Podsumowanie!E$9+1&gt;0,PMT(M31/12,P31+1-SUM(AB$5:AB31),O31),T31),0),0))</f>
        <v>0</v>
      </c>
      <c r="V31" s="89">
        <f t="shared" si="18"/>
        <v>0</v>
      </c>
      <c r="W31" s="90" t="str">
        <f>IF(R31&gt;0,R31/(C31*(1-Podsumowanie!E$11))," ")</f>
        <v xml:space="preserve"> </v>
      </c>
      <c r="X31" s="90">
        <f t="shared" si="19"/>
        <v>0</v>
      </c>
      <c r="Y31" s="91">
        <f t="shared" si="20"/>
        <v>0</v>
      </c>
      <c r="Z31" s="90">
        <f>IF(P31-SUM(AB$5:AB31)+1&gt;0,IF(Podsumowanie!E$7&lt;B31,IF(SUM(AB$5:AB31)-Podsumowanie!E$9+1&gt;0,PMT(M31/12,P31+1-SUM(AB$5:AB31),N31),Y31),0),0)</f>
        <v>0</v>
      </c>
      <c r="AA31" s="90">
        <f t="shared" si="21"/>
        <v>0</v>
      </c>
      <c r="AB31" s="8" t="str">
        <f>IF(AND(Podsumowanie!E$7&lt;B31,SUM(AB$5:AB30)&lt;P30),1," ")</f>
        <v xml:space="preserve"> </v>
      </c>
      <c r="AD31" s="51">
        <f>IF(OR(B31&lt;Podsumowanie!E$12,Podsumowanie!E$12=""),-F31+S31,0)</f>
        <v>0</v>
      </c>
      <c r="AE31" s="51">
        <f t="shared" si="22"/>
        <v>0</v>
      </c>
      <c r="AG31" s="10">
        <f>Podsumowanie!E$4-SUM(AI$5:AI30)+SUM(W31:W$42)-SUM(X31:X$42)</f>
        <v>181357.6981355522</v>
      </c>
      <c r="AH31" s="10">
        <f t="shared" si="23"/>
        <v>0</v>
      </c>
      <c r="AI31" s="10">
        <f t="shared" si="24"/>
        <v>0</v>
      </c>
      <c r="AJ31" s="10">
        <f t="shared" si="25"/>
        <v>0</v>
      </c>
      <c r="AK31" s="10">
        <f t="shared" si="26"/>
        <v>0</v>
      </c>
      <c r="AL31" s="10">
        <f>Podsumowanie!E$2-SUM(AN$5:AN30)+SUM(R31:R$42)-SUM(S31:S$42)</f>
        <v>400000</v>
      </c>
      <c r="AM31" s="10">
        <f t="shared" si="27"/>
        <v>0</v>
      </c>
      <c r="AN31" s="10">
        <f t="shared" si="28"/>
        <v>0</v>
      </c>
      <c r="AO31" s="10">
        <f t="shared" si="29"/>
        <v>0</v>
      </c>
      <c r="AP31" s="10">
        <f t="shared" si="30"/>
        <v>0</v>
      </c>
      <c r="AR31" s="43">
        <f t="shared" si="31"/>
        <v>38047</v>
      </c>
      <c r="AS31" s="11">
        <f>AS$5+SUM(AV$5:AV30)-SUM(X$5:X31)+SUM(W$5:W31)</f>
        <v>175916.96719148563</v>
      </c>
      <c r="AT31" s="10">
        <f t="shared" si="32"/>
        <v>0</v>
      </c>
      <c r="AU31" s="10">
        <f>IF(AB31=1,IF(Q31="tak",AT31,PMT(M31/12,P31+1-SUM(AB$5:AB31),AS31)),0)</f>
        <v>0</v>
      </c>
      <c r="AV31" s="10">
        <f t="shared" si="33"/>
        <v>0</v>
      </c>
      <c r="AW31" s="10">
        <f t="shared" si="34"/>
        <v>0</v>
      </c>
      <c r="AY31" s="11">
        <f>AY$5+SUM(BA$5:BA30)+SUM(W$5:W30)-SUM(X$5:X30)</f>
        <v>175916.96719148563</v>
      </c>
      <c r="AZ31" s="11">
        <f t="shared" si="35"/>
        <v>0</v>
      </c>
      <c r="BA31" s="11">
        <f t="shared" si="36"/>
        <v>0</v>
      </c>
      <c r="BB31" s="11">
        <f t="shared" si="37"/>
        <v>0</v>
      </c>
      <c r="BC31" s="11">
        <f t="shared" si="38"/>
        <v>0</v>
      </c>
      <c r="BE31" s="172">
        <f t="shared" si="4"/>
        <v>0.0552</v>
      </c>
      <c r="BF31" s="44">
        <f>BE31+Podsumowanie!$E$6</f>
        <v>0.0672</v>
      </c>
      <c r="BG31" s="11">
        <f>BG$5+SUM(BH$5:BH30)+SUM(R$5:R30)-SUM(S$5:S30)</f>
        <v>400000</v>
      </c>
      <c r="BH31" s="10">
        <f t="shared" si="39"/>
        <v>0</v>
      </c>
      <c r="BI31" s="10">
        <f t="shared" si="40"/>
        <v>0</v>
      </c>
      <c r="BJ31" s="10">
        <f>IF(U31&lt;0,PMT(BF31/12,Podsumowanie!E$8-SUM(AB$5:AB31)+1,BG31),0)</f>
        <v>0</v>
      </c>
      <c r="BL31" s="11">
        <f>BL$5+SUM(BN$5:BN30)+SUM(R$5:R30)-SUM(S$5:S30)</f>
        <v>400000</v>
      </c>
      <c r="BM31" s="11">
        <f t="shared" si="5"/>
        <v>0</v>
      </c>
      <c r="BN31" s="11">
        <f t="shared" si="6"/>
        <v>0</v>
      </c>
      <c r="BO31" s="11">
        <f t="shared" si="7"/>
        <v>0</v>
      </c>
      <c r="BQ31" s="44">
        <f t="shared" si="8"/>
        <v>0.0673</v>
      </c>
      <c r="BR31" s="11">
        <f>BR$5+SUM(BS$5:BS30)+SUM(R$5:R30)-SUM(S$5:S30)+SUM(BV$5:BV30)</f>
        <v>400000</v>
      </c>
      <c r="BS31" s="10">
        <f t="shared" si="46"/>
        <v>0</v>
      </c>
      <c r="BT31" s="10">
        <f t="shared" si="47"/>
        <v>0</v>
      </c>
      <c r="BU31" s="10">
        <f>IF(U31&lt;0,PMT(BQ31/12,Podsumowanie!E$8-SUM(AB$5:AB31)+1,BR31),0)</f>
        <v>0</v>
      </c>
      <c r="BV31" s="10">
        <f t="shared" si="41"/>
        <v>0</v>
      </c>
      <c r="BX31" s="11">
        <f>BX$5+SUM(BZ$5:BZ30)+SUM(R$5:R30)-SUM(S$5:S30)+SUM(CB$5,CB30)</f>
        <v>400000</v>
      </c>
      <c r="BY31" s="10">
        <f t="shared" si="9"/>
        <v>0</v>
      </c>
      <c r="BZ31" s="10">
        <f t="shared" si="10"/>
        <v>0</v>
      </c>
      <c r="CA31" s="10">
        <f t="shared" si="48"/>
        <v>0</v>
      </c>
      <c r="CB31" s="10">
        <f t="shared" si="49"/>
        <v>0</v>
      </c>
      <c r="CD31" s="10">
        <f>CD$5+SUM(CE$5:CE30)+SUM(R$5:R30)-SUM(S$5:S30)-SUM(CF$5:CF30)</f>
        <v>400000</v>
      </c>
      <c r="CE31" s="10">
        <f t="shared" si="42"/>
        <v>0</v>
      </c>
      <c r="CF31" s="10">
        <f t="shared" si="43"/>
        <v>0</v>
      </c>
      <c r="CG31" s="10">
        <f t="shared" si="44"/>
        <v>0</v>
      </c>
      <c r="CI31" s="44">
        <v>0.9216</v>
      </c>
      <c r="CJ31" s="10">
        <f t="shared" si="45"/>
        <v>0</v>
      </c>
      <c r="CK31" s="4">
        <f t="shared" si="50"/>
        <v>0</v>
      </c>
      <c r="CM31" s="10">
        <f t="shared" si="51"/>
        <v>0</v>
      </c>
      <c r="CN31" s="4">
        <f t="shared" si="52"/>
        <v>0</v>
      </c>
    </row>
    <row r="32" spans="1:92" ht="15.75">
      <c r="A32" s="36"/>
      <c r="B32" s="37">
        <v>38078</v>
      </c>
      <c r="C32" s="77">
        <f t="shared" si="1"/>
        <v>3.0602</v>
      </c>
      <c r="D32" s="78">
        <f>C32*(1+Podsumowanie!E$11)</f>
        <v>3.152006</v>
      </c>
      <c r="E32" s="34">
        <f t="shared" si="11"/>
        <v>0</v>
      </c>
      <c r="F32" s="7">
        <f t="shared" si="12"/>
        <v>0</v>
      </c>
      <c r="G32" s="7">
        <f t="shared" si="13"/>
        <v>0</v>
      </c>
      <c r="H32" s="7">
        <f t="shared" si="14"/>
        <v>0</v>
      </c>
      <c r="I32" s="32"/>
      <c r="J32" s="4" t="str">
        <f t="shared" si="15"/>
        <v xml:space="preserve"> </v>
      </c>
      <c r="K32" s="4">
        <f>IF(B32&lt;Podsumowanie!E$7,0,K31+1)</f>
        <v>0</v>
      </c>
      <c r="L32" s="100">
        <f t="shared" si="2"/>
        <v>0.0025</v>
      </c>
      <c r="M32" s="38">
        <f>L32+Podsumowanie!E$6</f>
        <v>0.0145</v>
      </c>
      <c r="N32" s="101">
        <f>MAX(Podsumowanie!E$4+SUM(AA$5:AA31)-SUM(X$5:X32)+SUM(W$5:W32),0)</f>
        <v>181357.6981355522</v>
      </c>
      <c r="O32" s="102">
        <f>MAX(Podsumowanie!E$2+SUM(V$5:V31)-SUM(S$5:S32)+SUM(R$5:R32),0)</f>
        <v>400000</v>
      </c>
      <c r="P32" s="39">
        <f t="shared" si="16"/>
        <v>360</v>
      </c>
      <c r="Q32" s="40" t="str">
        <f>IF(AND(K32&gt;0,K32&lt;=Podsumowanie!E$9),"tak","nie")</f>
        <v>nie</v>
      </c>
      <c r="R32" s="41"/>
      <c r="S32" s="42"/>
      <c r="T32" s="88">
        <f t="shared" si="17"/>
        <v>0</v>
      </c>
      <c r="U32" s="89">
        <f>IF(Q32="tak",T32,IF(P32-SUM(AB$5:AB32)+1&gt;0,IF(Podsumowanie!E$7&lt;B32,IF(SUM(AB$5:AB32)-Podsumowanie!E$9+1&gt;0,PMT(M32/12,P32+1-SUM(AB$5:AB32),O32),T32),0),0))</f>
        <v>0</v>
      </c>
      <c r="V32" s="89">
        <f t="shared" si="18"/>
        <v>0</v>
      </c>
      <c r="W32" s="90" t="str">
        <f>IF(R32&gt;0,R32/(C32*(1-Podsumowanie!E$11))," ")</f>
        <v xml:space="preserve"> </v>
      </c>
      <c r="X32" s="90">
        <f t="shared" si="19"/>
        <v>0</v>
      </c>
      <c r="Y32" s="91">
        <f t="shared" si="20"/>
        <v>0</v>
      </c>
      <c r="Z32" s="90">
        <f>IF(P32-SUM(AB$5:AB32)+1&gt;0,IF(Podsumowanie!E$7&lt;B32,IF(SUM(AB$5:AB32)-Podsumowanie!E$9+1&gt;0,PMT(M32/12,P32+1-SUM(AB$5:AB32),N32),Y32),0),0)</f>
        <v>0</v>
      </c>
      <c r="AA32" s="90">
        <f t="shared" si="21"/>
        <v>0</v>
      </c>
      <c r="AB32" s="8" t="str">
        <f>IF(AND(Podsumowanie!E$7&lt;B32,SUM(AB$5:AB31)&lt;P31),1," ")</f>
        <v xml:space="preserve"> </v>
      </c>
      <c r="AD32" s="51">
        <f>IF(OR(B32&lt;Podsumowanie!E$12,Podsumowanie!E$12=""),-F32+S32,0)</f>
        <v>0</v>
      </c>
      <c r="AE32" s="51">
        <f t="shared" si="22"/>
        <v>0</v>
      </c>
      <c r="AG32" s="10">
        <f>Podsumowanie!E$4-SUM(AI$5:AI31)+SUM(W32:W$42)-SUM(X32:X$42)</f>
        <v>181357.6981355522</v>
      </c>
      <c r="AH32" s="10">
        <f t="shared" si="23"/>
        <v>0</v>
      </c>
      <c r="AI32" s="10">
        <f t="shared" si="24"/>
        <v>0</v>
      </c>
      <c r="AJ32" s="10">
        <f t="shared" si="25"/>
        <v>0</v>
      </c>
      <c r="AK32" s="10">
        <f t="shared" si="26"/>
        <v>0</v>
      </c>
      <c r="AL32" s="10">
        <f>Podsumowanie!E$2-SUM(AN$5:AN31)+SUM(R32:R$42)-SUM(S32:S$42)</f>
        <v>400000</v>
      </c>
      <c r="AM32" s="10">
        <f t="shared" si="27"/>
        <v>0</v>
      </c>
      <c r="AN32" s="10">
        <f t="shared" si="28"/>
        <v>0</v>
      </c>
      <c r="AO32" s="10">
        <f t="shared" si="29"/>
        <v>0</v>
      </c>
      <c r="AP32" s="10">
        <f t="shared" si="30"/>
        <v>0</v>
      </c>
      <c r="AR32" s="43">
        <f t="shared" si="31"/>
        <v>38078</v>
      </c>
      <c r="AS32" s="11">
        <f>AS$5+SUM(AV$5:AV31)-SUM(X$5:X32)+SUM(W$5:W32)</f>
        <v>175916.96719148563</v>
      </c>
      <c r="AT32" s="10">
        <f t="shared" si="32"/>
        <v>0</v>
      </c>
      <c r="AU32" s="10">
        <f>IF(AB32=1,IF(Q32="tak",AT32,PMT(M32/12,P32+1-SUM(AB$5:AB32),AS32)),0)</f>
        <v>0</v>
      </c>
      <c r="AV32" s="10">
        <f t="shared" si="33"/>
        <v>0</v>
      </c>
      <c r="AW32" s="10">
        <f t="shared" si="34"/>
        <v>0</v>
      </c>
      <c r="AY32" s="11">
        <f>AY$5+SUM(BA$5:BA31)+SUM(W$5:W31)-SUM(X$5:X31)</f>
        <v>175916.96719148563</v>
      </c>
      <c r="AZ32" s="11">
        <f t="shared" si="35"/>
        <v>0</v>
      </c>
      <c r="BA32" s="11">
        <f t="shared" si="36"/>
        <v>0</v>
      </c>
      <c r="BB32" s="11">
        <f t="shared" si="37"/>
        <v>0</v>
      </c>
      <c r="BC32" s="11">
        <f t="shared" si="38"/>
        <v>0</v>
      </c>
      <c r="BE32" s="172">
        <f t="shared" si="4"/>
        <v>0.055</v>
      </c>
      <c r="BF32" s="44">
        <f>BE32+Podsumowanie!$E$6</f>
        <v>0.067</v>
      </c>
      <c r="BG32" s="11">
        <f>BG$5+SUM(BH$5:BH31)+SUM(R$5:R31)-SUM(S$5:S31)</f>
        <v>400000</v>
      </c>
      <c r="BH32" s="10">
        <f t="shared" si="39"/>
        <v>0</v>
      </c>
      <c r="BI32" s="10">
        <f t="shared" si="40"/>
        <v>0</v>
      </c>
      <c r="BJ32" s="10">
        <f>IF(U32&lt;0,PMT(BF32/12,Podsumowanie!E$8-SUM(AB$5:AB32)+1,BG32),0)</f>
        <v>0</v>
      </c>
      <c r="BL32" s="11">
        <f>BL$5+SUM(BN$5:BN31)+SUM(R$5:R31)-SUM(S$5:S31)</f>
        <v>400000</v>
      </c>
      <c r="BM32" s="11">
        <f t="shared" si="5"/>
        <v>0</v>
      </c>
      <c r="BN32" s="11">
        <f t="shared" si="6"/>
        <v>0</v>
      </c>
      <c r="BO32" s="11">
        <f t="shared" si="7"/>
        <v>0</v>
      </c>
      <c r="BQ32" s="44">
        <f t="shared" si="8"/>
        <v>0.06709999999999999</v>
      </c>
      <c r="BR32" s="11">
        <f>BR$5+SUM(BS$5:BS31)+SUM(R$5:R31)-SUM(S$5:S31)+SUM(BV$5:BV31)</f>
        <v>400000</v>
      </c>
      <c r="BS32" s="10">
        <f t="shared" si="46"/>
        <v>0</v>
      </c>
      <c r="BT32" s="10">
        <f t="shared" si="47"/>
        <v>0</v>
      </c>
      <c r="BU32" s="10">
        <f>IF(U32&lt;0,PMT(BQ32/12,Podsumowanie!E$8-SUM(AB$5:AB32)+1,BR32),0)</f>
        <v>0</v>
      </c>
      <c r="BV32" s="10">
        <f t="shared" si="41"/>
        <v>0</v>
      </c>
      <c r="BX32" s="11">
        <f>BX$5+SUM(BZ$5:BZ31)+SUM(R$5:R31)-SUM(S$5:S31)+SUM(CB$5,CB31)</f>
        <v>400000</v>
      </c>
      <c r="BY32" s="10">
        <f t="shared" si="9"/>
        <v>0</v>
      </c>
      <c r="BZ32" s="10">
        <f t="shared" si="10"/>
        <v>0</v>
      </c>
      <c r="CA32" s="10">
        <f t="shared" si="48"/>
        <v>0</v>
      </c>
      <c r="CB32" s="10">
        <f t="shared" si="49"/>
        <v>0</v>
      </c>
      <c r="CD32" s="10">
        <f>CD$5+SUM(CE$5:CE31)+SUM(R$5:R31)-SUM(S$5:S31)-SUM(CF$5:CF31)</f>
        <v>400000</v>
      </c>
      <c r="CE32" s="10">
        <f t="shared" si="42"/>
        <v>0</v>
      </c>
      <c r="CF32" s="10">
        <f t="shared" si="43"/>
        <v>0</v>
      </c>
      <c r="CG32" s="10">
        <f t="shared" si="44"/>
        <v>0</v>
      </c>
      <c r="CI32" s="44">
        <v>0.9158</v>
      </c>
      <c r="CJ32" s="10">
        <f t="shared" si="45"/>
        <v>0</v>
      </c>
      <c r="CK32" s="4">
        <f t="shared" si="50"/>
        <v>0</v>
      </c>
      <c r="CM32" s="10">
        <f t="shared" si="51"/>
        <v>0</v>
      </c>
      <c r="CN32" s="4">
        <f t="shared" si="52"/>
        <v>0</v>
      </c>
    </row>
    <row r="33" spans="1:92" ht="15.75">
      <c r="A33" s="36"/>
      <c r="B33" s="37">
        <v>38108</v>
      </c>
      <c r="C33" s="77">
        <f t="shared" si="1"/>
        <v>3.0695</v>
      </c>
      <c r="D33" s="78">
        <f>C33*(1+Podsumowanie!E$11)</f>
        <v>3.161585</v>
      </c>
      <c r="E33" s="34">
        <f t="shared" si="11"/>
        <v>0</v>
      </c>
      <c r="F33" s="7">
        <f t="shared" si="12"/>
        <v>0</v>
      </c>
      <c r="G33" s="7">
        <f t="shared" si="13"/>
        <v>0</v>
      </c>
      <c r="H33" s="7">
        <f t="shared" si="14"/>
        <v>0</v>
      </c>
      <c r="I33" s="32"/>
      <c r="J33" s="4" t="str">
        <f t="shared" si="15"/>
        <v xml:space="preserve"> </v>
      </c>
      <c r="K33" s="4">
        <f>IF(B33&lt;Podsumowanie!E$7,0,K32+1)</f>
        <v>0</v>
      </c>
      <c r="L33" s="100">
        <f t="shared" si="2"/>
        <v>0.002717</v>
      </c>
      <c r="M33" s="38">
        <f>L33+Podsumowanie!E$6</f>
        <v>0.014717000000000001</v>
      </c>
      <c r="N33" s="101">
        <f>MAX(Podsumowanie!E$4+SUM(AA$5:AA32)-SUM(X$5:X33)+SUM(W$5:W33),0)</f>
        <v>181357.6981355522</v>
      </c>
      <c r="O33" s="102">
        <f>MAX(Podsumowanie!E$2+SUM(V$5:V32)-SUM(S$5:S33)+SUM(R$5:R33),0)</f>
        <v>400000</v>
      </c>
      <c r="P33" s="39">
        <f t="shared" si="16"/>
        <v>360</v>
      </c>
      <c r="Q33" s="40" t="str">
        <f>IF(AND(K33&gt;0,K33&lt;=Podsumowanie!E$9),"tak","nie")</f>
        <v>nie</v>
      </c>
      <c r="R33" s="41"/>
      <c r="S33" s="42"/>
      <c r="T33" s="88">
        <f t="shared" si="17"/>
        <v>0</v>
      </c>
      <c r="U33" s="89">
        <f>IF(Q33="tak",T33,IF(P33-SUM(AB$5:AB33)+1&gt;0,IF(Podsumowanie!E$7&lt;B33,IF(SUM(AB$5:AB33)-Podsumowanie!E$9+1&gt;0,PMT(M33/12,P33+1-SUM(AB$5:AB33),O33),T33),0),0))</f>
        <v>0</v>
      </c>
      <c r="V33" s="89">
        <f t="shared" si="18"/>
        <v>0</v>
      </c>
      <c r="W33" s="90" t="str">
        <f>IF(R33&gt;0,R33/(C33*(1-Podsumowanie!E$11))," ")</f>
        <v xml:space="preserve"> </v>
      </c>
      <c r="X33" s="90">
        <f t="shared" si="19"/>
        <v>0</v>
      </c>
      <c r="Y33" s="91">
        <f t="shared" si="20"/>
        <v>0</v>
      </c>
      <c r="Z33" s="90">
        <f>IF(P33-SUM(AB$5:AB33)+1&gt;0,IF(Podsumowanie!E$7&lt;B33,IF(SUM(AB$5:AB33)-Podsumowanie!E$9+1&gt;0,PMT(M33/12,P33+1-SUM(AB$5:AB33),N33),Y33),0),0)</f>
        <v>0</v>
      </c>
      <c r="AA33" s="90">
        <f t="shared" si="21"/>
        <v>0</v>
      </c>
      <c r="AB33" s="8" t="str">
        <f>IF(AND(Podsumowanie!E$7&lt;B33,SUM(AB$5:AB32)&lt;P32),1," ")</f>
        <v xml:space="preserve"> </v>
      </c>
      <c r="AD33" s="51">
        <f>IF(OR(B33&lt;Podsumowanie!E$12,Podsumowanie!E$12=""),-F33+S33,0)</f>
        <v>0</v>
      </c>
      <c r="AE33" s="51">
        <f t="shared" si="22"/>
        <v>0</v>
      </c>
      <c r="AG33" s="10">
        <f>Podsumowanie!E$4-SUM(AI$5:AI32)+SUM(W33:W$42)-SUM(X33:X$42)</f>
        <v>181357.6981355522</v>
      </c>
      <c r="AH33" s="10">
        <f t="shared" si="23"/>
        <v>0</v>
      </c>
      <c r="AI33" s="10">
        <f t="shared" si="24"/>
        <v>0</v>
      </c>
      <c r="AJ33" s="10">
        <f t="shared" si="25"/>
        <v>0</v>
      </c>
      <c r="AK33" s="10">
        <f t="shared" si="26"/>
        <v>0</v>
      </c>
      <c r="AL33" s="10">
        <f>Podsumowanie!E$2-SUM(AN$5:AN32)+SUM(R33:R$42)-SUM(S33:S$42)</f>
        <v>400000</v>
      </c>
      <c r="AM33" s="10">
        <f t="shared" si="27"/>
        <v>0</v>
      </c>
      <c r="AN33" s="10">
        <f t="shared" si="28"/>
        <v>0</v>
      </c>
      <c r="AO33" s="10">
        <f t="shared" si="29"/>
        <v>0</v>
      </c>
      <c r="AP33" s="10">
        <f t="shared" si="30"/>
        <v>0</v>
      </c>
      <c r="AR33" s="43">
        <f t="shared" si="31"/>
        <v>38108</v>
      </c>
      <c r="AS33" s="11">
        <f>AS$5+SUM(AV$5:AV32)-SUM(X$5:X33)+SUM(W$5:W33)</f>
        <v>175916.96719148563</v>
      </c>
      <c r="AT33" s="10">
        <f t="shared" si="32"/>
        <v>0</v>
      </c>
      <c r="AU33" s="10">
        <f>IF(AB33=1,IF(Q33="tak",AT33,PMT(M33/12,P33+1-SUM(AB$5:AB33),AS33)),0)</f>
        <v>0</v>
      </c>
      <c r="AV33" s="10">
        <f t="shared" si="33"/>
        <v>0</v>
      </c>
      <c r="AW33" s="10">
        <f t="shared" si="34"/>
        <v>0</v>
      </c>
      <c r="AY33" s="11">
        <f>AY$5+SUM(BA$5:BA32)+SUM(W$5:W32)-SUM(X$5:X32)</f>
        <v>175916.96719148563</v>
      </c>
      <c r="AZ33" s="11">
        <f t="shared" si="35"/>
        <v>0</v>
      </c>
      <c r="BA33" s="11">
        <f t="shared" si="36"/>
        <v>0</v>
      </c>
      <c r="BB33" s="11">
        <f t="shared" si="37"/>
        <v>0</v>
      </c>
      <c r="BC33" s="11">
        <f t="shared" si="38"/>
        <v>0</v>
      </c>
      <c r="BE33" s="172">
        <f t="shared" si="4"/>
        <v>0.0591</v>
      </c>
      <c r="BF33" s="44">
        <f>BE33+Podsumowanie!$E$6</f>
        <v>0.0711</v>
      </c>
      <c r="BG33" s="11">
        <f>BG$5+SUM(BH$5:BH32)+SUM(R$5:R32)-SUM(S$5:S32)</f>
        <v>400000</v>
      </c>
      <c r="BH33" s="10">
        <f t="shared" si="39"/>
        <v>0</v>
      </c>
      <c r="BI33" s="10">
        <f t="shared" si="40"/>
        <v>0</v>
      </c>
      <c r="BJ33" s="10">
        <f>IF(U33&lt;0,PMT(BF33/12,Podsumowanie!E$8-SUM(AB$5:AB33)+1,BG33),0)</f>
        <v>0</v>
      </c>
      <c r="BL33" s="11">
        <f>BL$5+SUM(BN$5:BN32)+SUM(R$5:R32)-SUM(S$5:S32)</f>
        <v>400000</v>
      </c>
      <c r="BM33" s="11">
        <f t="shared" si="5"/>
        <v>0</v>
      </c>
      <c r="BN33" s="11">
        <f t="shared" si="6"/>
        <v>0</v>
      </c>
      <c r="BO33" s="11">
        <f t="shared" si="7"/>
        <v>0</v>
      </c>
      <c r="BQ33" s="44">
        <f t="shared" si="8"/>
        <v>0.0712</v>
      </c>
      <c r="BR33" s="11">
        <f>BR$5+SUM(BS$5:BS32)+SUM(R$5:R32)-SUM(S$5:S32)+SUM(BV$5:BV32)</f>
        <v>400000</v>
      </c>
      <c r="BS33" s="10">
        <f t="shared" si="46"/>
        <v>0</v>
      </c>
      <c r="BT33" s="10">
        <f t="shared" si="47"/>
        <v>0</v>
      </c>
      <c r="BU33" s="10">
        <f>IF(U33&lt;0,PMT(BQ33/12,Podsumowanie!E$8-SUM(AB$5:AB33)+1,BR33),0)</f>
        <v>0</v>
      </c>
      <c r="BV33" s="10">
        <f t="shared" si="41"/>
        <v>0</v>
      </c>
      <c r="BX33" s="11">
        <f>BX$5+SUM(BZ$5:BZ32)+SUM(R$5:R32)-SUM(S$5:S32)+SUM(CB$5,CB32)</f>
        <v>400000</v>
      </c>
      <c r="BY33" s="10">
        <f t="shared" si="9"/>
        <v>0</v>
      </c>
      <c r="BZ33" s="10">
        <f t="shared" si="10"/>
        <v>0</v>
      </c>
      <c r="CA33" s="10">
        <f t="shared" si="48"/>
        <v>0</v>
      </c>
      <c r="CB33" s="10">
        <f t="shared" si="49"/>
        <v>0</v>
      </c>
      <c r="CD33" s="10">
        <f>CD$5+SUM(CE$5:CE32)+SUM(R$5:R32)-SUM(S$5:S32)-SUM(CF$5:CF32)</f>
        <v>400000</v>
      </c>
      <c r="CE33" s="10">
        <f t="shared" si="42"/>
        <v>0</v>
      </c>
      <c r="CF33" s="10">
        <f t="shared" si="43"/>
        <v>0</v>
      </c>
      <c r="CG33" s="10">
        <f t="shared" si="44"/>
        <v>0</v>
      </c>
      <c r="CI33" s="44">
        <v>0.9006</v>
      </c>
      <c r="CJ33" s="10">
        <f t="shared" si="45"/>
        <v>0</v>
      </c>
      <c r="CK33" s="4">
        <f t="shared" si="50"/>
        <v>0</v>
      </c>
      <c r="CM33" s="10">
        <f t="shared" si="51"/>
        <v>0</v>
      </c>
      <c r="CN33" s="4">
        <f t="shared" si="52"/>
        <v>0</v>
      </c>
    </row>
    <row r="34" spans="1:92" ht="15.75">
      <c r="A34" s="36"/>
      <c r="B34" s="37">
        <v>38139</v>
      </c>
      <c r="C34" s="77">
        <f t="shared" si="1"/>
        <v>3.0252</v>
      </c>
      <c r="D34" s="78">
        <f>C34*(1+Podsumowanie!E$11)</f>
        <v>3.115956</v>
      </c>
      <c r="E34" s="34">
        <f t="shared" si="11"/>
        <v>0</v>
      </c>
      <c r="F34" s="7">
        <f t="shared" si="12"/>
        <v>0</v>
      </c>
      <c r="G34" s="7">
        <f t="shared" si="13"/>
        <v>0</v>
      </c>
      <c r="H34" s="7">
        <f t="shared" si="14"/>
        <v>0</v>
      </c>
      <c r="I34" s="32"/>
      <c r="J34" s="4" t="str">
        <f t="shared" si="15"/>
        <v xml:space="preserve"> </v>
      </c>
      <c r="K34" s="4">
        <f>IF(B34&lt;Podsumowanie!E$7,0,K33+1)</f>
        <v>0</v>
      </c>
      <c r="L34" s="100">
        <f t="shared" si="2"/>
        <v>0.0026</v>
      </c>
      <c r="M34" s="38">
        <f>L34+Podsumowanie!E$6</f>
        <v>0.0146</v>
      </c>
      <c r="N34" s="101">
        <f>MAX(Podsumowanie!E$4+SUM(AA$5:AA33)-SUM(X$5:X34)+SUM(W$5:W34),0)</f>
        <v>181357.6981355522</v>
      </c>
      <c r="O34" s="102">
        <f>MAX(Podsumowanie!E$2+SUM(V$5:V33)-SUM(S$5:S34)+SUM(R$5:R34),0)</f>
        <v>400000</v>
      </c>
      <c r="P34" s="39">
        <f t="shared" si="16"/>
        <v>360</v>
      </c>
      <c r="Q34" s="40" t="str">
        <f>IF(AND(K34&gt;0,K34&lt;=Podsumowanie!E$9),"tak","nie")</f>
        <v>nie</v>
      </c>
      <c r="R34" s="41"/>
      <c r="S34" s="42"/>
      <c r="T34" s="88">
        <f t="shared" si="17"/>
        <v>0</v>
      </c>
      <c r="U34" s="89">
        <f>IF(Q34="tak",T34,IF(P34-SUM(AB$5:AB34)+1&gt;0,IF(Podsumowanie!E$7&lt;B34,IF(SUM(AB$5:AB34)-Podsumowanie!E$9+1&gt;0,PMT(M34/12,P34+1-SUM(AB$5:AB34),O34),T34),0),0))</f>
        <v>0</v>
      </c>
      <c r="V34" s="89">
        <f t="shared" si="18"/>
        <v>0</v>
      </c>
      <c r="W34" s="90" t="str">
        <f>IF(R34&gt;0,R34/(C34*(1-Podsumowanie!E$11))," ")</f>
        <v xml:space="preserve"> </v>
      </c>
      <c r="X34" s="90">
        <f t="shared" si="19"/>
        <v>0</v>
      </c>
      <c r="Y34" s="91">
        <f t="shared" si="20"/>
        <v>0</v>
      </c>
      <c r="Z34" s="90">
        <f>IF(P34-SUM(AB$5:AB34)+1&gt;0,IF(Podsumowanie!E$7&lt;B34,IF(SUM(AB$5:AB34)-Podsumowanie!E$9+1&gt;0,PMT(M34/12,P34+1-SUM(AB$5:AB34),N34),Y34),0),0)</f>
        <v>0</v>
      </c>
      <c r="AA34" s="90">
        <f t="shared" si="21"/>
        <v>0</v>
      </c>
      <c r="AB34" s="8" t="str">
        <f>IF(AND(Podsumowanie!E$7&lt;B34,SUM(AB$5:AB33)&lt;P33),1," ")</f>
        <v xml:space="preserve"> </v>
      </c>
      <c r="AD34" s="51">
        <f>IF(OR(B34&lt;Podsumowanie!E$12,Podsumowanie!E$12=""),-F34+S34,0)</f>
        <v>0</v>
      </c>
      <c r="AE34" s="51">
        <f t="shared" si="22"/>
        <v>0</v>
      </c>
      <c r="AG34" s="10">
        <f>Podsumowanie!E$4-SUM(AI$5:AI33)+SUM(W34:W$42)-SUM(X34:X$42)</f>
        <v>181357.6981355522</v>
      </c>
      <c r="AH34" s="10">
        <f t="shared" si="23"/>
        <v>0</v>
      </c>
      <c r="AI34" s="10">
        <f t="shared" si="24"/>
        <v>0</v>
      </c>
      <c r="AJ34" s="10">
        <f t="shared" si="25"/>
        <v>0</v>
      </c>
      <c r="AK34" s="10">
        <f t="shared" si="26"/>
        <v>0</v>
      </c>
      <c r="AL34" s="10">
        <f>Podsumowanie!E$2-SUM(AN$5:AN33)+SUM(R34:R$42)-SUM(S34:S$42)</f>
        <v>400000</v>
      </c>
      <c r="AM34" s="10">
        <f t="shared" si="27"/>
        <v>0</v>
      </c>
      <c r="AN34" s="10">
        <f t="shared" si="28"/>
        <v>0</v>
      </c>
      <c r="AO34" s="10">
        <f t="shared" si="29"/>
        <v>0</v>
      </c>
      <c r="AP34" s="10">
        <f t="shared" si="30"/>
        <v>0</v>
      </c>
      <c r="AR34" s="43">
        <f t="shared" si="31"/>
        <v>38139</v>
      </c>
      <c r="AS34" s="11">
        <f>AS$5+SUM(AV$5:AV33)-SUM(X$5:X34)+SUM(W$5:W34)</f>
        <v>175916.96719148563</v>
      </c>
      <c r="AT34" s="10">
        <f t="shared" si="32"/>
        <v>0</v>
      </c>
      <c r="AU34" s="10">
        <f>IF(AB34=1,IF(Q34="tak",AT34,PMT(M34/12,P34+1-SUM(AB$5:AB34),AS34)),0)</f>
        <v>0</v>
      </c>
      <c r="AV34" s="10">
        <f t="shared" si="33"/>
        <v>0</v>
      </c>
      <c r="AW34" s="10">
        <f t="shared" si="34"/>
        <v>0</v>
      </c>
      <c r="AY34" s="11">
        <f>AY$5+SUM(BA$5:BA33)+SUM(W$5:W33)-SUM(X$5:X33)</f>
        <v>175916.96719148563</v>
      </c>
      <c r="AZ34" s="11">
        <f t="shared" si="35"/>
        <v>0</v>
      </c>
      <c r="BA34" s="11">
        <f t="shared" si="36"/>
        <v>0</v>
      </c>
      <c r="BB34" s="11">
        <f t="shared" si="37"/>
        <v>0</v>
      </c>
      <c r="BC34" s="11">
        <f t="shared" si="38"/>
        <v>0</v>
      </c>
      <c r="BE34" s="172">
        <f t="shared" si="4"/>
        <v>0.0595</v>
      </c>
      <c r="BF34" s="44">
        <f>BE34+Podsumowanie!$E$6</f>
        <v>0.0715</v>
      </c>
      <c r="BG34" s="11">
        <f>BG$5+SUM(BH$5:BH33)+SUM(R$5:R33)-SUM(S$5:S33)</f>
        <v>400000</v>
      </c>
      <c r="BH34" s="10">
        <f t="shared" si="39"/>
        <v>0</v>
      </c>
      <c r="BI34" s="10">
        <f t="shared" si="40"/>
        <v>0</v>
      </c>
      <c r="BJ34" s="10">
        <f>IF(U34&lt;0,PMT(BF34/12,Podsumowanie!E$8-SUM(AB$5:AB34)+1,BG34),0)</f>
        <v>0</v>
      </c>
      <c r="BL34" s="11">
        <f>BL$5+SUM(BN$5:BN33)+SUM(R$5:R33)-SUM(S$5:S33)</f>
        <v>400000</v>
      </c>
      <c r="BM34" s="11">
        <f t="shared" si="5"/>
        <v>0</v>
      </c>
      <c r="BN34" s="11">
        <f t="shared" si="6"/>
        <v>0</v>
      </c>
      <c r="BO34" s="11">
        <f t="shared" si="7"/>
        <v>0</v>
      </c>
      <c r="BQ34" s="44">
        <f t="shared" si="8"/>
        <v>0.0716</v>
      </c>
      <c r="BR34" s="11">
        <f>BR$5+SUM(BS$5:BS33)+SUM(R$5:R33)-SUM(S$5:S33)+SUM(BV$5:BV33)</f>
        <v>400000</v>
      </c>
      <c r="BS34" s="10">
        <f t="shared" si="46"/>
        <v>0</v>
      </c>
      <c r="BT34" s="10">
        <f t="shared" si="47"/>
        <v>0</v>
      </c>
      <c r="BU34" s="10">
        <f>IF(U34&lt;0,PMT(BQ34/12,Podsumowanie!E$8-SUM(AB$5:AB34)+1,BR34),0)</f>
        <v>0</v>
      </c>
      <c r="BV34" s="10">
        <f t="shared" si="41"/>
        <v>0</v>
      </c>
      <c r="BX34" s="11">
        <f>BX$5+SUM(BZ$5:BZ33)+SUM(R$5:R33)-SUM(S$5:S33)+SUM(CB$5,CB33)</f>
        <v>400000</v>
      </c>
      <c r="BY34" s="10">
        <f t="shared" si="9"/>
        <v>0</v>
      </c>
      <c r="BZ34" s="10">
        <f t="shared" si="10"/>
        <v>0</v>
      </c>
      <c r="CA34" s="10">
        <f t="shared" si="48"/>
        <v>0</v>
      </c>
      <c r="CB34" s="10">
        <f t="shared" si="49"/>
        <v>0</v>
      </c>
      <c r="CD34" s="10">
        <f>CD$5+SUM(CE$5:CE33)+SUM(R$5:R33)-SUM(S$5:S33)-SUM(CF$5:CF33)</f>
        <v>400000</v>
      </c>
      <c r="CE34" s="10">
        <f t="shared" si="42"/>
        <v>0</v>
      </c>
      <c r="CF34" s="10">
        <f t="shared" si="43"/>
        <v>0</v>
      </c>
      <c r="CG34" s="10">
        <f t="shared" si="44"/>
        <v>0</v>
      </c>
      <c r="CI34" s="44">
        <v>0.8818</v>
      </c>
      <c r="CJ34" s="10">
        <f t="shared" si="45"/>
        <v>0</v>
      </c>
      <c r="CK34" s="4">
        <f t="shared" si="50"/>
        <v>0</v>
      </c>
      <c r="CM34" s="10">
        <f t="shared" si="51"/>
        <v>0</v>
      </c>
      <c r="CN34" s="4">
        <f t="shared" si="52"/>
        <v>0</v>
      </c>
    </row>
    <row r="35" spans="1:92" ht="15.75">
      <c r="A35" s="36"/>
      <c r="B35" s="37">
        <v>38169</v>
      </c>
      <c r="C35" s="77">
        <f t="shared" si="1"/>
        <v>2.9271</v>
      </c>
      <c r="D35" s="78">
        <f>C35*(1+Podsumowanie!E$11)</f>
        <v>3.014913</v>
      </c>
      <c r="E35" s="34">
        <f t="shared" si="11"/>
        <v>0</v>
      </c>
      <c r="F35" s="7">
        <f t="shared" si="12"/>
        <v>0</v>
      </c>
      <c r="G35" s="7">
        <f t="shared" si="13"/>
        <v>0</v>
      </c>
      <c r="H35" s="7">
        <f t="shared" si="14"/>
        <v>0</v>
      </c>
      <c r="I35" s="32"/>
      <c r="J35" s="4" t="str">
        <f t="shared" si="15"/>
        <v xml:space="preserve"> </v>
      </c>
      <c r="K35" s="4">
        <f>IF(B35&lt;Podsumowanie!E$7,0,K34+1)</f>
        <v>0</v>
      </c>
      <c r="L35" s="100">
        <f t="shared" si="2"/>
        <v>0.004967</v>
      </c>
      <c r="M35" s="38">
        <f>L35+Podsumowanie!E$6</f>
        <v>0.016967</v>
      </c>
      <c r="N35" s="101">
        <f>MAX(Podsumowanie!E$4+SUM(AA$5:AA34)-SUM(X$5:X35)+SUM(W$5:W35),0)</f>
        <v>181357.6981355522</v>
      </c>
      <c r="O35" s="102">
        <f>MAX(Podsumowanie!E$2+SUM(V$5:V34)-SUM(S$5:S35)+SUM(R$5:R35),0)</f>
        <v>400000</v>
      </c>
      <c r="P35" s="39">
        <f t="shared" si="16"/>
        <v>360</v>
      </c>
      <c r="Q35" s="40" t="str">
        <f>IF(AND(K35&gt;0,K35&lt;=Podsumowanie!E$9),"tak","nie")</f>
        <v>nie</v>
      </c>
      <c r="R35" s="41"/>
      <c r="S35" s="42"/>
      <c r="T35" s="88">
        <f t="shared" si="17"/>
        <v>0</v>
      </c>
      <c r="U35" s="89">
        <f>IF(Q35="tak",T35,IF(P35-SUM(AB$5:AB35)+1&gt;0,IF(Podsumowanie!E$7&lt;B35,IF(SUM(AB$5:AB35)-Podsumowanie!E$9+1&gt;0,PMT(M35/12,P35+1-SUM(AB$5:AB35),O35),T35),0),0))</f>
        <v>0</v>
      </c>
      <c r="V35" s="89">
        <f t="shared" si="18"/>
        <v>0</v>
      </c>
      <c r="W35" s="90" t="str">
        <f>IF(R35&gt;0,R35/(C35*(1-Podsumowanie!E$11))," ")</f>
        <v xml:space="preserve"> </v>
      </c>
      <c r="X35" s="90">
        <f t="shared" si="19"/>
        <v>0</v>
      </c>
      <c r="Y35" s="91">
        <f t="shared" si="20"/>
        <v>0</v>
      </c>
      <c r="Z35" s="90">
        <f>IF(P35-SUM(AB$5:AB35)+1&gt;0,IF(Podsumowanie!E$7&lt;B35,IF(SUM(AB$5:AB35)-Podsumowanie!E$9+1&gt;0,PMT(M35/12,P35+1-SUM(AB$5:AB35),N35),Y35),0),0)</f>
        <v>0</v>
      </c>
      <c r="AA35" s="90">
        <f t="shared" si="21"/>
        <v>0</v>
      </c>
      <c r="AB35" s="8" t="str">
        <f>IF(AND(Podsumowanie!E$7&lt;B35,SUM(AB$5:AB34)&lt;P34),1," ")</f>
        <v xml:space="preserve"> </v>
      </c>
      <c r="AD35" s="51">
        <f>IF(OR(B35&lt;Podsumowanie!E$12,Podsumowanie!E$12=""),-F35+S35,0)</f>
        <v>0</v>
      </c>
      <c r="AE35" s="51">
        <f t="shared" si="22"/>
        <v>0</v>
      </c>
      <c r="AG35" s="10">
        <f>Podsumowanie!E$4-SUM(AI$5:AI34)+SUM(W35:W$42)-SUM(X35:X$42)</f>
        <v>181357.6981355522</v>
      </c>
      <c r="AH35" s="10">
        <f t="shared" si="23"/>
        <v>0</v>
      </c>
      <c r="AI35" s="10">
        <f t="shared" si="24"/>
        <v>0</v>
      </c>
      <c r="AJ35" s="10">
        <f t="shared" si="25"/>
        <v>0</v>
      </c>
      <c r="AK35" s="10">
        <f t="shared" si="26"/>
        <v>0</v>
      </c>
      <c r="AL35" s="10">
        <f>Podsumowanie!E$2-SUM(AN$5:AN34)+SUM(R35:R$42)-SUM(S35:S$42)</f>
        <v>400000</v>
      </c>
      <c r="AM35" s="10">
        <f t="shared" si="27"/>
        <v>0</v>
      </c>
      <c r="AN35" s="10">
        <f t="shared" si="28"/>
        <v>0</v>
      </c>
      <c r="AO35" s="10">
        <f t="shared" si="29"/>
        <v>0</v>
      </c>
      <c r="AP35" s="10">
        <f t="shared" si="30"/>
        <v>0</v>
      </c>
      <c r="AR35" s="43">
        <f t="shared" si="31"/>
        <v>38169</v>
      </c>
      <c r="AS35" s="11">
        <f>AS$5+SUM(AV$5:AV34)-SUM(X$5:X35)+SUM(W$5:W35)</f>
        <v>175916.96719148563</v>
      </c>
      <c r="AT35" s="10">
        <f t="shared" si="32"/>
        <v>0</v>
      </c>
      <c r="AU35" s="10">
        <f>IF(AB35=1,IF(Q35="tak",AT35,PMT(M35/12,P35+1-SUM(AB$5:AB35),AS35)),0)</f>
        <v>0</v>
      </c>
      <c r="AV35" s="10">
        <f t="shared" si="33"/>
        <v>0</v>
      </c>
      <c r="AW35" s="10">
        <f t="shared" si="34"/>
        <v>0</v>
      </c>
      <c r="AY35" s="11">
        <f>AY$5+SUM(BA$5:BA34)+SUM(W$5:W34)-SUM(X$5:X34)</f>
        <v>175916.96719148563</v>
      </c>
      <c r="AZ35" s="11">
        <f t="shared" si="35"/>
        <v>0</v>
      </c>
      <c r="BA35" s="11">
        <f t="shared" si="36"/>
        <v>0</v>
      </c>
      <c r="BB35" s="11">
        <f t="shared" si="37"/>
        <v>0</v>
      </c>
      <c r="BC35" s="11">
        <f t="shared" si="38"/>
        <v>0</v>
      </c>
      <c r="BE35" s="172">
        <f t="shared" si="4"/>
        <v>0.0618</v>
      </c>
      <c r="BF35" s="44">
        <f>BE35+Podsumowanie!$E$6</f>
        <v>0.0738</v>
      </c>
      <c r="BG35" s="11">
        <f>BG$5+SUM(BH$5:BH34)+SUM(R$5:R34)-SUM(S$5:S34)</f>
        <v>400000</v>
      </c>
      <c r="BH35" s="10">
        <f t="shared" si="39"/>
        <v>0</v>
      </c>
      <c r="BI35" s="10">
        <f t="shared" si="40"/>
        <v>0</v>
      </c>
      <c r="BJ35" s="10">
        <f>IF(U35&lt;0,PMT(BF35/12,Podsumowanie!E$8-SUM(AB$5:AB35)+1,BG35),0)</f>
        <v>0</v>
      </c>
      <c r="BL35" s="11">
        <f>BL$5+SUM(BN$5:BN34)+SUM(R$5:R34)-SUM(S$5:S34)</f>
        <v>400000</v>
      </c>
      <c r="BM35" s="11">
        <f t="shared" si="5"/>
        <v>0</v>
      </c>
      <c r="BN35" s="11">
        <f t="shared" si="6"/>
        <v>0</v>
      </c>
      <c r="BO35" s="11">
        <f t="shared" si="7"/>
        <v>0</v>
      </c>
      <c r="BQ35" s="44">
        <f t="shared" si="8"/>
        <v>0.0739</v>
      </c>
      <c r="BR35" s="11">
        <f>BR$5+SUM(BS$5:BS34)+SUM(R$5:R34)-SUM(S$5:S34)+SUM(BV$5:BV34)</f>
        <v>400000</v>
      </c>
      <c r="BS35" s="10">
        <f t="shared" si="46"/>
        <v>0</v>
      </c>
      <c r="BT35" s="10">
        <f t="shared" si="47"/>
        <v>0</v>
      </c>
      <c r="BU35" s="10">
        <f>IF(U35&lt;0,PMT(BQ35/12,Podsumowanie!E$8-SUM(AB$5:AB35)+1,BR35),0)</f>
        <v>0</v>
      </c>
      <c r="BV35" s="10">
        <f t="shared" si="41"/>
        <v>0</v>
      </c>
      <c r="BX35" s="11">
        <f>BX$5+SUM(BZ$5:BZ34)+SUM(R$5:R34)-SUM(S$5:S34)+SUM(CB$5,CB34)</f>
        <v>400000</v>
      </c>
      <c r="BY35" s="10">
        <f t="shared" si="9"/>
        <v>0</v>
      </c>
      <c r="BZ35" s="10">
        <f t="shared" si="10"/>
        <v>0</v>
      </c>
      <c r="CA35" s="10">
        <f t="shared" si="48"/>
        <v>0</v>
      </c>
      <c r="CB35" s="10">
        <f t="shared" si="49"/>
        <v>0</v>
      </c>
      <c r="CD35" s="10">
        <f>CD$5+SUM(CE$5:CE34)+SUM(R$5:R34)-SUM(S$5:S34)-SUM(CF$5:CF34)</f>
        <v>400000</v>
      </c>
      <c r="CE35" s="10">
        <f t="shared" si="42"/>
        <v>0</v>
      </c>
      <c r="CF35" s="10">
        <f t="shared" si="43"/>
        <v>0</v>
      </c>
      <c r="CG35" s="10">
        <f t="shared" si="44"/>
        <v>0</v>
      </c>
      <c r="CI35" s="44">
        <v>0.865</v>
      </c>
      <c r="CJ35" s="10">
        <f t="shared" si="45"/>
        <v>0</v>
      </c>
      <c r="CK35" s="4">
        <f t="shared" si="50"/>
        <v>0</v>
      </c>
      <c r="CM35" s="10">
        <f t="shared" si="51"/>
        <v>0</v>
      </c>
      <c r="CN35" s="4">
        <f t="shared" si="52"/>
        <v>0</v>
      </c>
    </row>
    <row r="36" spans="1:92" ht="15.75">
      <c r="A36" s="36"/>
      <c r="B36" s="37">
        <v>38200</v>
      </c>
      <c r="C36" s="77">
        <f t="shared" si="1"/>
        <v>2.8836</v>
      </c>
      <c r="D36" s="78">
        <f>C36*(1+Podsumowanie!E$11)</f>
        <v>2.970108</v>
      </c>
      <c r="E36" s="34">
        <f t="shared" si="11"/>
        <v>0</v>
      </c>
      <c r="F36" s="7">
        <f t="shared" si="12"/>
        <v>0</v>
      </c>
      <c r="G36" s="7">
        <f t="shared" si="13"/>
        <v>0</v>
      </c>
      <c r="H36" s="7">
        <f t="shared" si="14"/>
        <v>0</v>
      </c>
      <c r="I36" s="32"/>
      <c r="J36" s="4" t="str">
        <f t="shared" si="15"/>
        <v xml:space="preserve"> </v>
      </c>
      <c r="K36" s="4">
        <f>IF(B36&lt;Podsumowanie!E$7,0,K35+1)</f>
        <v>0</v>
      </c>
      <c r="L36" s="100">
        <f t="shared" si="2"/>
        <v>0.005333</v>
      </c>
      <c r="M36" s="38">
        <f>L36+Podsumowanie!E$6</f>
        <v>0.017333</v>
      </c>
      <c r="N36" s="101">
        <f>MAX(Podsumowanie!E$4+SUM(AA$5:AA35)-SUM(X$5:X36)+SUM(W$5:W36),0)</f>
        <v>181357.6981355522</v>
      </c>
      <c r="O36" s="102">
        <f>MAX(Podsumowanie!E$2+SUM(V$5:V35)-SUM(S$5:S36)+SUM(R$5:R36),0)</f>
        <v>400000</v>
      </c>
      <c r="P36" s="39">
        <f t="shared" si="16"/>
        <v>360</v>
      </c>
      <c r="Q36" s="40" t="str">
        <f>IF(AND(K36&gt;0,K36&lt;=Podsumowanie!E$9),"tak","nie")</f>
        <v>nie</v>
      </c>
      <c r="R36" s="41"/>
      <c r="S36" s="42"/>
      <c r="T36" s="88">
        <f t="shared" si="17"/>
        <v>0</v>
      </c>
      <c r="U36" s="89">
        <f>IF(Q36="tak",T36,IF(P36-SUM(AB$5:AB36)+1&gt;0,IF(Podsumowanie!E$7&lt;B36,IF(SUM(AB$5:AB36)-Podsumowanie!E$9+1&gt;0,PMT(M36/12,P36+1-SUM(AB$5:AB36),O36),T36),0),0))</f>
        <v>0</v>
      </c>
      <c r="V36" s="89">
        <f t="shared" si="18"/>
        <v>0</v>
      </c>
      <c r="W36" s="90" t="str">
        <f>IF(R36&gt;0,R36/(C36*(1-Podsumowanie!E$11))," ")</f>
        <v xml:space="preserve"> </v>
      </c>
      <c r="X36" s="90">
        <f t="shared" si="19"/>
        <v>0</v>
      </c>
      <c r="Y36" s="91">
        <f t="shared" si="20"/>
        <v>0</v>
      </c>
      <c r="Z36" s="90">
        <f>IF(P36-SUM(AB$5:AB36)+1&gt;0,IF(Podsumowanie!E$7&lt;B36,IF(SUM(AB$5:AB36)-Podsumowanie!E$9+1&gt;0,PMT(M36/12,P36+1-SUM(AB$5:AB36),N36),Y36),0),0)</f>
        <v>0</v>
      </c>
      <c r="AA36" s="90">
        <f t="shared" si="21"/>
        <v>0</v>
      </c>
      <c r="AB36" s="8" t="str">
        <f>IF(AND(Podsumowanie!E$7&lt;B36,SUM(AB$5:AB35)&lt;P35),1," ")</f>
        <v xml:space="preserve"> </v>
      </c>
      <c r="AD36" s="51">
        <f>IF(OR(B36&lt;Podsumowanie!E$12,Podsumowanie!E$12=""),-F36+S36,0)</f>
        <v>0</v>
      </c>
      <c r="AE36" s="51">
        <f t="shared" si="22"/>
        <v>0</v>
      </c>
      <c r="AG36" s="10">
        <f>Podsumowanie!E$4-SUM(AI$5:AI35)+SUM(W36:W$42)-SUM(X36:X$42)</f>
        <v>181357.6981355522</v>
      </c>
      <c r="AH36" s="10">
        <f t="shared" si="23"/>
        <v>0</v>
      </c>
      <c r="AI36" s="10">
        <f t="shared" si="24"/>
        <v>0</v>
      </c>
      <c r="AJ36" s="10">
        <f t="shared" si="25"/>
        <v>0</v>
      </c>
      <c r="AK36" s="10">
        <f t="shared" si="26"/>
        <v>0</v>
      </c>
      <c r="AL36" s="10">
        <f>Podsumowanie!E$2-SUM(AN$5:AN35)+SUM(R36:R$42)-SUM(S36:S$42)</f>
        <v>400000</v>
      </c>
      <c r="AM36" s="10">
        <f t="shared" si="27"/>
        <v>0</v>
      </c>
      <c r="AN36" s="10">
        <f t="shared" si="28"/>
        <v>0</v>
      </c>
      <c r="AO36" s="10">
        <f t="shared" si="29"/>
        <v>0</v>
      </c>
      <c r="AP36" s="10">
        <f t="shared" si="30"/>
        <v>0</v>
      </c>
      <c r="AR36" s="43">
        <f t="shared" si="31"/>
        <v>38200</v>
      </c>
      <c r="AS36" s="11">
        <f>AS$5+SUM(AV$5:AV35)-SUM(X$5:X36)+SUM(W$5:W36)</f>
        <v>175916.96719148563</v>
      </c>
      <c r="AT36" s="10">
        <f t="shared" si="32"/>
        <v>0</v>
      </c>
      <c r="AU36" s="10">
        <f>IF(AB36=1,IF(Q36="tak",AT36,PMT(M36/12,P36+1-SUM(AB$5:AB36),AS36)),0)</f>
        <v>0</v>
      </c>
      <c r="AV36" s="10">
        <f t="shared" si="33"/>
        <v>0</v>
      </c>
      <c r="AW36" s="10">
        <f t="shared" si="34"/>
        <v>0</v>
      </c>
      <c r="AY36" s="11">
        <f>AY$5+SUM(BA$5:BA35)+SUM(W$5:W35)-SUM(X$5:X35)</f>
        <v>175916.96719148563</v>
      </c>
      <c r="AZ36" s="11">
        <f t="shared" si="35"/>
        <v>0</v>
      </c>
      <c r="BA36" s="11">
        <f t="shared" si="36"/>
        <v>0</v>
      </c>
      <c r="BB36" s="11">
        <f t="shared" si="37"/>
        <v>0</v>
      </c>
      <c r="BC36" s="11">
        <f t="shared" si="38"/>
        <v>0</v>
      </c>
      <c r="BE36" s="172">
        <f t="shared" si="4"/>
        <v>0.0641</v>
      </c>
      <c r="BF36" s="44">
        <f>BE36+Podsumowanie!$E$6</f>
        <v>0.0761</v>
      </c>
      <c r="BG36" s="11">
        <f>BG$5+SUM(BH$5:BH35)+SUM(R$5:R35)-SUM(S$5:S35)</f>
        <v>400000</v>
      </c>
      <c r="BH36" s="10">
        <f t="shared" si="39"/>
        <v>0</v>
      </c>
      <c r="BI36" s="10">
        <f t="shared" si="40"/>
        <v>0</v>
      </c>
      <c r="BJ36" s="10">
        <f>IF(U36&lt;0,PMT(BF36/12,Podsumowanie!E$8-SUM(AB$5:AB36)+1,BG36),0)</f>
        <v>0</v>
      </c>
      <c r="BL36" s="11">
        <f>BL$5+SUM(BN$5:BN35)+SUM(R$5:R35)-SUM(S$5:S35)</f>
        <v>400000</v>
      </c>
      <c r="BM36" s="11">
        <f t="shared" si="5"/>
        <v>0</v>
      </c>
      <c r="BN36" s="11">
        <f t="shared" si="6"/>
        <v>0</v>
      </c>
      <c r="BO36" s="11">
        <f t="shared" si="7"/>
        <v>0</v>
      </c>
      <c r="BQ36" s="44">
        <f t="shared" si="8"/>
        <v>0.0762</v>
      </c>
      <c r="BR36" s="11">
        <f>BR$5+SUM(BS$5:BS35)+SUM(R$5:R35)-SUM(S$5:S35)+SUM(BV$5:BV35)</f>
        <v>400000</v>
      </c>
      <c r="BS36" s="10">
        <f t="shared" si="46"/>
        <v>0</v>
      </c>
      <c r="BT36" s="10">
        <f t="shared" si="47"/>
        <v>0</v>
      </c>
      <c r="BU36" s="10">
        <f>IF(U36&lt;0,PMT(BQ36/12,Podsumowanie!E$8-SUM(AB$5:AB36)+1,BR36),0)</f>
        <v>0</v>
      </c>
      <c r="BV36" s="10">
        <f t="shared" si="41"/>
        <v>0</v>
      </c>
      <c r="BX36" s="11">
        <f>BX$5+SUM(BZ$5:BZ35)+SUM(R$5:R35)-SUM(S$5:S35)+SUM(CB$5,CB35)</f>
        <v>400000</v>
      </c>
      <c r="BY36" s="10">
        <f t="shared" si="9"/>
        <v>0</v>
      </c>
      <c r="BZ36" s="10">
        <f t="shared" si="10"/>
        <v>0</v>
      </c>
      <c r="CA36" s="10">
        <f t="shared" si="48"/>
        <v>0</v>
      </c>
      <c r="CB36" s="10">
        <f t="shared" si="49"/>
        <v>0</v>
      </c>
      <c r="CD36" s="10">
        <f>CD$5+SUM(CE$5:CE35)+SUM(R$5:R35)-SUM(S$5:S35)-SUM(CF$5:CF35)</f>
        <v>400000</v>
      </c>
      <c r="CE36" s="10">
        <f t="shared" si="42"/>
        <v>0</v>
      </c>
      <c r="CF36" s="10">
        <f t="shared" si="43"/>
        <v>0</v>
      </c>
      <c r="CG36" s="10">
        <f t="shared" si="44"/>
        <v>0</v>
      </c>
      <c r="CI36" s="44">
        <v>0.8669</v>
      </c>
      <c r="CJ36" s="10">
        <f t="shared" si="45"/>
        <v>0</v>
      </c>
      <c r="CK36" s="4">
        <f t="shared" si="50"/>
        <v>0</v>
      </c>
      <c r="CM36" s="10">
        <f t="shared" si="51"/>
        <v>0</v>
      </c>
      <c r="CN36" s="4">
        <f t="shared" si="52"/>
        <v>0</v>
      </c>
    </row>
    <row r="37" spans="1:92" ht="15.75">
      <c r="A37" s="36"/>
      <c r="B37" s="37">
        <v>38231</v>
      </c>
      <c r="C37" s="77">
        <f t="shared" si="1"/>
        <v>2.8365</v>
      </c>
      <c r="D37" s="78">
        <f>C37*(1+Podsumowanie!E$11)</f>
        <v>2.921595</v>
      </c>
      <c r="E37" s="34">
        <f t="shared" si="11"/>
        <v>0</v>
      </c>
      <c r="F37" s="7">
        <f t="shared" si="12"/>
        <v>0</v>
      </c>
      <c r="G37" s="7">
        <f t="shared" si="13"/>
        <v>0</v>
      </c>
      <c r="H37" s="7">
        <f t="shared" si="14"/>
        <v>0</v>
      </c>
      <c r="I37" s="32"/>
      <c r="J37" s="4" t="str">
        <f t="shared" si="15"/>
        <v xml:space="preserve"> </v>
      </c>
      <c r="K37" s="4">
        <f>IF(B37&lt;Podsumowanie!E$7,0,K36+1)</f>
        <v>0</v>
      </c>
      <c r="L37" s="100">
        <f t="shared" si="2"/>
        <v>0.00645</v>
      </c>
      <c r="M37" s="38">
        <f>L37+Podsumowanie!E$6</f>
        <v>0.01845</v>
      </c>
      <c r="N37" s="101">
        <f>MAX(Podsumowanie!E$4+SUM(AA$5:AA36)-SUM(X$5:X37)+SUM(W$5:W37),0)</f>
        <v>181357.6981355522</v>
      </c>
      <c r="O37" s="102">
        <f>MAX(Podsumowanie!E$2+SUM(V$5:V36)-SUM(S$5:S37)+SUM(R$5:R37),0)</f>
        <v>400000</v>
      </c>
      <c r="P37" s="39">
        <f t="shared" si="16"/>
        <v>360</v>
      </c>
      <c r="Q37" s="40" t="str">
        <f>IF(AND(K37&gt;0,K37&lt;=Podsumowanie!E$9),"tak","nie")</f>
        <v>nie</v>
      </c>
      <c r="R37" s="41"/>
      <c r="S37" s="42"/>
      <c r="T37" s="88">
        <f t="shared" si="17"/>
        <v>0</v>
      </c>
      <c r="U37" s="89">
        <f>IF(Q37="tak",T37,IF(P37-SUM(AB$5:AB37)+1&gt;0,IF(Podsumowanie!E$7&lt;B37,IF(SUM(AB$5:AB37)-Podsumowanie!E$9+1&gt;0,PMT(M37/12,P37+1-SUM(AB$5:AB37),O37),T37),0),0))</f>
        <v>0</v>
      </c>
      <c r="V37" s="89">
        <f t="shared" si="18"/>
        <v>0</v>
      </c>
      <c r="W37" s="90" t="str">
        <f>IF(R37&gt;0,R37/(C37*(1-Podsumowanie!E$11))," ")</f>
        <v xml:space="preserve"> </v>
      </c>
      <c r="X37" s="90">
        <f t="shared" si="19"/>
        <v>0</v>
      </c>
      <c r="Y37" s="91">
        <f t="shared" si="20"/>
        <v>0</v>
      </c>
      <c r="Z37" s="90">
        <f>IF(P37-SUM(AB$5:AB37)+1&gt;0,IF(Podsumowanie!E$7&lt;B37,IF(SUM(AB$5:AB37)-Podsumowanie!E$9+1&gt;0,PMT(M37/12,P37+1-SUM(AB$5:AB37),N37),Y37),0),0)</f>
        <v>0</v>
      </c>
      <c r="AA37" s="90">
        <f t="shared" si="21"/>
        <v>0</v>
      </c>
      <c r="AB37" s="8" t="str">
        <f>IF(AND(Podsumowanie!E$7&lt;B37,SUM(AB$5:AB36)&lt;P36),1," ")</f>
        <v xml:space="preserve"> </v>
      </c>
      <c r="AD37" s="51">
        <f>IF(OR(B37&lt;Podsumowanie!E$12,Podsumowanie!E$12=""),-F37+S37,0)</f>
        <v>0</v>
      </c>
      <c r="AE37" s="51">
        <f t="shared" si="22"/>
        <v>0</v>
      </c>
      <c r="AG37" s="10">
        <f>Podsumowanie!E$4-SUM(AI$5:AI36)+SUM(W37:W$42)-SUM(X37:X$42)</f>
        <v>181357.6981355522</v>
      </c>
      <c r="AH37" s="10">
        <f t="shared" si="23"/>
        <v>0</v>
      </c>
      <c r="AI37" s="10">
        <f t="shared" si="24"/>
        <v>0</v>
      </c>
      <c r="AJ37" s="10">
        <f t="shared" si="25"/>
        <v>0</v>
      </c>
      <c r="AK37" s="10">
        <f t="shared" si="26"/>
        <v>0</v>
      </c>
      <c r="AL37" s="10">
        <f>Podsumowanie!E$2-SUM(AN$5:AN36)+SUM(R37:R$42)-SUM(S37:S$42)</f>
        <v>400000</v>
      </c>
      <c r="AM37" s="10">
        <f t="shared" si="27"/>
        <v>0</v>
      </c>
      <c r="AN37" s="10">
        <f t="shared" si="28"/>
        <v>0</v>
      </c>
      <c r="AO37" s="10">
        <f t="shared" si="29"/>
        <v>0</v>
      </c>
      <c r="AP37" s="10">
        <f t="shared" si="30"/>
        <v>0</v>
      </c>
      <c r="AR37" s="43">
        <f t="shared" si="31"/>
        <v>38231</v>
      </c>
      <c r="AS37" s="11">
        <f>AS$5+SUM(AV$5:AV36)-SUM(X$5:X37)+SUM(W$5:W37)</f>
        <v>175916.96719148563</v>
      </c>
      <c r="AT37" s="10">
        <f t="shared" si="32"/>
        <v>0</v>
      </c>
      <c r="AU37" s="10">
        <f>IF(AB37=1,IF(Q37="tak",AT37,PMT(M37/12,P37+1-SUM(AB$5:AB37),AS37)),0)</f>
        <v>0</v>
      </c>
      <c r="AV37" s="10">
        <f t="shared" si="33"/>
        <v>0</v>
      </c>
      <c r="AW37" s="10">
        <f t="shared" si="34"/>
        <v>0</v>
      </c>
      <c r="AY37" s="11">
        <f>AY$5+SUM(BA$5:BA36)+SUM(W$5:W36)-SUM(X$5:X36)</f>
        <v>175916.96719148563</v>
      </c>
      <c r="AZ37" s="11">
        <f t="shared" si="35"/>
        <v>0</v>
      </c>
      <c r="BA37" s="11">
        <f t="shared" si="36"/>
        <v>0</v>
      </c>
      <c r="BB37" s="11">
        <f t="shared" si="37"/>
        <v>0</v>
      </c>
      <c r="BC37" s="11">
        <f t="shared" si="38"/>
        <v>0</v>
      </c>
      <c r="BE37" s="172">
        <f t="shared" si="4"/>
        <v>0.0709</v>
      </c>
      <c r="BF37" s="44">
        <f>BE37+Podsumowanie!$E$6</f>
        <v>0.0829</v>
      </c>
      <c r="BG37" s="11">
        <f>BG$5+SUM(BH$5:BH36)+SUM(R$5:R36)-SUM(S$5:S36)</f>
        <v>400000</v>
      </c>
      <c r="BH37" s="10">
        <f t="shared" si="39"/>
        <v>0</v>
      </c>
      <c r="BI37" s="10">
        <f t="shared" si="40"/>
        <v>0</v>
      </c>
      <c r="BJ37" s="10">
        <f>IF(U37&lt;0,PMT(BF37/12,Podsumowanie!E$8-SUM(AB$5:AB37)+1,BG37),0)</f>
        <v>0</v>
      </c>
      <c r="BL37" s="11">
        <f>BL$5+SUM(BN$5:BN36)+SUM(R$5:R36)-SUM(S$5:S36)</f>
        <v>400000</v>
      </c>
      <c r="BM37" s="11">
        <f t="shared" si="5"/>
        <v>0</v>
      </c>
      <c r="BN37" s="11">
        <f t="shared" si="6"/>
        <v>0</v>
      </c>
      <c r="BO37" s="11">
        <f t="shared" si="7"/>
        <v>0</v>
      </c>
      <c r="BQ37" s="44">
        <f t="shared" si="8"/>
        <v>0.083</v>
      </c>
      <c r="BR37" s="11">
        <f>BR$5+SUM(BS$5:BS36)+SUM(R$5:R36)-SUM(S$5:S36)+SUM(BV$5:BV36)</f>
        <v>400000</v>
      </c>
      <c r="BS37" s="10">
        <f t="shared" si="46"/>
        <v>0</v>
      </c>
      <c r="BT37" s="10">
        <f t="shared" si="47"/>
        <v>0</v>
      </c>
      <c r="BU37" s="10">
        <f>IF(U37&lt;0,PMT(BQ37/12,Podsumowanie!E$8-SUM(AB$5:AB37)+1,BR37),0)</f>
        <v>0</v>
      </c>
      <c r="BV37" s="10">
        <f t="shared" si="41"/>
        <v>0</v>
      </c>
      <c r="BX37" s="11">
        <f>BX$5+SUM(BZ$5:BZ36)+SUM(R$5:R36)-SUM(S$5:S36)+SUM(CB$5,CB36)</f>
        <v>400000</v>
      </c>
      <c r="BY37" s="10">
        <f t="shared" si="9"/>
        <v>0</v>
      </c>
      <c r="BZ37" s="10">
        <f t="shared" si="10"/>
        <v>0</v>
      </c>
      <c r="CA37" s="10">
        <f t="shared" si="48"/>
        <v>0</v>
      </c>
      <c r="CB37" s="10">
        <f t="shared" si="49"/>
        <v>0</v>
      </c>
      <c r="CD37" s="10">
        <f>CD$5+SUM(CE$5:CE36)+SUM(R$5:R36)-SUM(S$5:S36)-SUM(CF$5:CF36)</f>
        <v>400000</v>
      </c>
      <c r="CE37" s="10">
        <f t="shared" si="42"/>
        <v>0</v>
      </c>
      <c r="CF37" s="10">
        <f t="shared" si="43"/>
        <v>0</v>
      </c>
      <c r="CG37" s="10">
        <f t="shared" si="44"/>
        <v>0</v>
      </c>
      <c r="CI37" s="44">
        <v>0.8744</v>
      </c>
      <c r="CJ37" s="10">
        <f t="shared" si="45"/>
        <v>0</v>
      </c>
      <c r="CK37" s="4">
        <f t="shared" si="50"/>
        <v>0</v>
      </c>
      <c r="CM37" s="10">
        <f t="shared" si="51"/>
        <v>0</v>
      </c>
      <c r="CN37" s="4">
        <f t="shared" si="52"/>
        <v>0</v>
      </c>
    </row>
    <row r="38" spans="1:92" ht="15.75">
      <c r="A38" s="36"/>
      <c r="B38" s="37">
        <v>38261</v>
      </c>
      <c r="C38" s="77">
        <f t="shared" si="1"/>
        <v>2.8032</v>
      </c>
      <c r="D38" s="78">
        <f>C38*(1+Podsumowanie!E$11)</f>
        <v>2.887296</v>
      </c>
      <c r="E38" s="34">
        <f t="shared" si="11"/>
        <v>0</v>
      </c>
      <c r="F38" s="7">
        <f t="shared" si="12"/>
        <v>0</v>
      </c>
      <c r="G38" s="7">
        <f t="shared" si="13"/>
        <v>0</v>
      </c>
      <c r="H38" s="7">
        <f t="shared" si="14"/>
        <v>0</v>
      </c>
      <c r="I38" s="32"/>
      <c r="J38" s="4" t="str">
        <f t="shared" si="15"/>
        <v xml:space="preserve"> </v>
      </c>
      <c r="K38" s="4">
        <f>IF(B38&lt;Podsumowanie!E$7,0,K37+1)</f>
        <v>0</v>
      </c>
      <c r="L38" s="100">
        <f t="shared" si="2"/>
        <v>0.007</v>
      </c>
      <c r="M38" s="38">
        <f>L38+Podsumowanie!E$6</f>
        <v>0.019</v>
      </c>
      <c r="N38" s="101">
        <f>MAX(Podsumowanie!E$4+SUM(AA$5:AA37)-SUM(X$5:X38)+SUM(W$5:W38),0)</f>
        <v>181357.6981355522</v>
      </c>
      <c r="O38" s="102">
        <f>MAX(Podsumowanie!E$2+SUM(V$5:V37)-SUM(S$5:S38)+SUM(R$5:R38),0)</f>
        <v>400000</v>
      </c>
      <c r="P38" s="39">
        <f t="shared" si="16"/>
        <v>360</v>
      </c>
      <c r="Q38" s="40" t="str">
        <f>IF(AND(K38&gt;0,K38&lt;=Podsumowanie!E$9),"tak","nie")</f>
        <v>nie</v>
      </c>
      <c r="R38" s="41"/>
      <c r="S38" s="42"/>
      <c r="T38" s="88">
        <f t="shared" si="17"/>
        <v>0</v>
      </c>
      <c r="U38" s="89">
        <f>IF(Q38="tak",T38,IF(P38-SUM(AB$5:AB38)+1&gt;0,IF(Podsumowanie!E$7&lt;B38,IF(SUM(AB$5:AB38)-Podsumowanie!E$9+1&gt;0,PMT(M38/12,P38+1-SUM(AB$5:AB38),O38),T38),0),0))</f>
        <v>0</v>
      </c>
      <c r="V38" s="89">
        <f t="shared" si="18"/>
        <v>0</v>
      </c>
      <c r="W38" s="90" t="str">
        <f>IF(R38&gt;0,R38/(C38*(1-Podsumowanie!E$11))," ")</f>
        <v xml:space="preserve"> </v>
      </c>
      <c r="X38" s="90">
        <f t="shared" si="19"/>
        <v>0</v>
      </c>
      <c r="Y38" s="91">
        <f t="shared" si="20"/>
        <v>0</v>
      </c>
      <c r="Z38" s="90">
        <f>IF(P38-SUM(AB$5:AB38)+1&gt;0,IF(Podsumowanie!E$7&lt;B38,IF(SUM(AB$5:AB38)-Podsumowanie!E$9+1&gt;0,PMT(M38/12,P38+1-SUM(AB$5:AB38),N38),Y38),0),0)</f>
        <v>0</v>
      </c>
      <c r="AA38" s="90">
        <f t="shared" si="21"/>
        <v>0</v>
      </c>
      <c r="AB38" s="8" t="str">
        <f>IF(AND(Podsumowanie!E$7&lt;B38,SUM(AB$5:AB37)&lt;P37),1," ")</f>
        <v xml:space="preserve"> </v>
      </c>
      <c r="AD38" s="51">
        <f>IF(OR(B38&lt;Podsumowanie!E$12,Podsumowanie!E$12=""),-F38+S38,0)</f>
        <v>0</v>
      </c>
      <c r="AE38" s="51">
        <f t="shared" si="22"/>
        <v>0</v>
      </c>
      <c r="AG38" s="10">
        <f>Podsumowanie!E$4-SUM(AI$5:AI37)+SUM(W38:W$42)-SUM(X38:X$42)</f>
        <v>181357.6981355522</v>
      </c>
      <c r="AH38" s="10">
        <f t="shared" si="23"/>
        <v>0</v>
      </c>
      <c r="AI38" s="10">
        <f t="shared" si="24"/>
        <v>0</v>
      </c>
      <c r="AJ38" s="10">
        <f t="shared" si="25"/>
        <v>0</v>
      </c>
      <c r="AK38" s="10">
        <f t="shared" si="26"/>
        <v>0</v>
      </c>
      <c r="AL38" s="10">
        <f>Podsumowanie!E$2-SUM(AN$5:AN37)+SUM(R38:R$42)-SUM(S38:S$42)</f>
        <v>400000</v>
      </c>
      <c r="AM38" s="10">
        <f t="shared" si="27"/>
        <v>0</v>
      </c>
      <c r="AN38" s="10">
        <f t="shared" si="28"/>
        <v>0</v>
      </c>
      <c r="AO38" s="10">
        <f t="shared" si="29"/>
        <v>0</v>
      </c>
      <c r="AP38" s="10">
        <f t="shared" si="30"/>
        <v>0</v>
      </c>
      <c r="AR38" s="43">
        <f t="shared" si="31"/>
        <v>38261</v>
      </c>
      <c r="AS38" s="11">
        <f>AS$5+SUM(AV$5:AV37)-SUM(X$5:X38)+SUM(W$5:W38)</f>
        <v>175916.96719148563</v>
      </c>
      <c r="AT38" s="10">
        <f t="shared" si="32"/>
        <v>0</v>
      </c>
      <c r="AU38" s="10">
        <f>IF(AB38=1,IF(Q38="tak",AT38,PMT(M38/12,P38+1-SUM(AB$5:AB38),AS38)),0)</f>
        <v>0</v>
      </c>
      <c r="AV38" s="10">
        <f t="shared" si="33"/>
        <v>0</v>
      </c>
      <c r="AW38" s="10">
        <f t="shared" si="34"/>
        <v>0</v>
      </c>
      <c r="AY38" s="11">
        <f>AY$5+SUM(BA$5:BA37)+SUM(W$5:W37)-SUM(X$5:X37)</f>
        <v>175916.96719148563</v>
      </c>
      <c r="AZ38" s="11">
        <f t="shared" si="35"/>
        <v>0</v>
      </c>
      <c r="BA38" s="11">
        <f t="shared" si="36"/>
        <v>0</v>
      </c>
      <c r="BB38" s="11">
        <f t="shared" si="37"/>
        <v>0</v>
      </c>
      <c r="BC38" s="11">
        <f t="shared" si="38"/>
        <v>0</v>
      </c>
      <c r="BE38" s="172">
        <f t="shared" si="4"/>
        <v>0.0692</v>
      </c>
      <c r="BF38" s="44">
        <f>BE38+Podsumowanie!$E$6</f>
        <v>0.0812</v>
      </c>
      <c r="BG38" s="11">
        <f>BG$5+SUM(BH$5:BH37)+SUM(R$5:R37)-SUM(S$5:S37)</f>
        <v>400000</v>
      </c>
      <c r="BH38" s="10">
        <f t="shared" si="39"/>
        <v>0</v>
      </c>
      <c r="BI38" s="10">
        <f t="shared" si="40"/>
        <v>0</v>
      </c>
      <c r="BJ38" s="10">
        <f>IF(U38&lt;0,PMT(BF38/12,Podsumowanie!E$8-SUM(AB$5:AB38)+1,BG38),0)</f>
        <v>0</v>
      </c>
      <c r="BL38" s="11">
        <f>BL$5+SUM(BN$5:BN37)+SUM(R$5:R37)-SUM(S$5:S37)</f>
        <v>400000</v>
      </c>
      <c r="BM38" s="11">
        <f t="shared" si="5"/>
        <v>0</v>
      </c>
      <c r="BN38" s="11">
        <f t="shared" si="6"/>
        <v>0</v>
      </c>
      <c r="BO38" s="11">
        <f t="shared" si="7"/>
        <v>0</v>
      </c>
      <c r="BQ38" s="44">
        <f t="shared" si="8"/>
        <v>0.0813</v>
      </c>
      <c r="BR38" s="11">
        <f>BR$5+SUM(BS$5:BS37)+SUM(R$5:R37)-SUM(S$5:S37)+SUM(BV$5:BV37)</f>
        <v>400000</v>
      </c>
      <c r="BS38" s="10">
        <f t="shared" si="46"/>
        <v>0</v>
      </c>
      <c r="BT38" s="10">
        <f t="shared" si="47"/>
        <v>0</v>
      </c>
      <c r="BU38" s="10">
        <f>IF(U38&lt;0,PMT(BQ38/12,Podsumowanie!E$8-SUM(AB$5:AB38)+1,BR38),0)</f>
        <v>0</v>
      </c>
      <c r="BV38" s="10">
        <f t="shared" si="41"/>
        <v>0</v>
      </c>
      <c r="BX38" s="11">
        <f>BX$5+SUM(BZ$5:BZ37)+SUM(R$5:R37)-SUM(S$5:S37)+SUM(CB$5,CB37)</f>
        <v>400000</v>
      </c>
      <c r="BY38" s="10">
        <f t="shared" si="9"/>
        <v>0</v>
      </c>
      <c r="BZ38" s="10">
        <f t="shared" si="10"/>
        <v>0</v>
      </c>
      <c r="CA38" s="10">
        <f t="shared" si="48"/>
        <v>0</v>
      </c>
      <c r="CB38" s="10">
        <f t="shared" si="49"/>
        <v>0</v>
      </c>
      <c r="CD38" s="10">
        <f>CD$5+SUM(CE$5:CE37)+SUM(R$5:R37)-SUM(S$5:S37)-SUM(CF$5:CF37)</f>
        <v>400000</v>
      </c>
      <c r="CE38" s="10">
        <f t="shared" si="42"/>
        <v>0</v>
      </c>
      <c r="CF38" s="10">
        <f t="shared" si="43"/>
        <v>0</v>
      </c>
      <c r="CG38" s="10">
        <f t="shared" si="44"/>
        <v>0</v>
      </c>
      <c r="CI38" s="44">
        <v>0.8688</v>
      </c>
      <c r="CJ38" s="10">
        <f t="shared" si="45"/>
        <v>0</v>
      </c>
      <c r="CK38" s="4">
        <f t="shared" si="50"/>
        <v>0</v>
      </c>
      <c r="CM38" s="10">
        <f t="shared" si="51"/>
        <v>0</v>
      </c>
      <c r="CN38" s="4">
        <f t="shared" si="52"/>
        <v>0</v>
      </c>
    </row>
    <row r="39" spans="1:92" ht="15.75">
      <c r="A39" s="36"/>
      <c r="B39" s="37">
        <v>38292</v>
      </c>
      <c r="C39" s="77">
        <f t="shared" si="1"/>
        <v>2.8008</v>
      </c>
      <c r="D39" s="78">
        <f>C39*(1+Podsumowanie!E$11)</f>
        <v>2.884824</v>
      </c>
      <c r="E39" s="34">
        <f t="shared" si="11"/>
        <v>0</v>
      </c>
      <c r="F39" s="7">
        <f t="shared" si="12"/>
        <v>0</v>
      </c>
      <c r="G39" s="7">
        <f t="shared" si="13"/>
        <v>0</v>
      </c>
      <c r="H39" s="7">
        <f t="shared" si="14"/>
        <v>0</v>
      </c>
      <c r="I39" s="32"/>
      <c r="J39" s="4" t="str">
        <f t="shared" si="15"/>
        <v xml:space="preserve"> </v>
      </c>
      <c r="K39" s="4">
        <f>IF(B39&lt;Podsumowanie!E$7,0,K38+1)</f>
        <v>0</v>
      </c>
      <c r="L39" s="100">
        <f t="shared" si="2"/>
        <v>0.007283</v>
      </c>
      <c r="M39" s="38">
        <f>L39+Podsumowanie!E$6</f>
        <v>0.019283</v>
      </c>
      <c r="N39" s="101">
        <f>MAX(Podsumowanie!E$4+SUM(AA$5:AA38)-SUM(X$5:X39)+SUM(W$5:W39),0)</f>
        <v>181357.6981355522</v>
      </c>
      <c r="O39" s="102">
        <f>MAX(Podsumowanie!E$2+SUM(V$5:V38)-SUM(S$5:S39)+SUM(R$5:R39),0)</f>
        <v>400000</v>
      </c>
      <c r="P39" s="39">
        <f t="shared" si="16"/>
        <v>360</v>
      </c>
      <c r="Q39" s="40" t="str">
        <f>IF(AND(K39&gt;0,K39&lt;=Podsumowanie!E$9),"tak","nie")</f>
        <v>nie</v>
      </c>
      <c r="R39" s="41"/>
      <c r="S39" s="42"/>
      <c r="T39" s="88">
        <f t="shared" si="17"/>
        <v>0</v>
      </c>
      <c r="U39" s="89">
        <f>IF(Q39="tak",T39,IF(P39-SUM(AB$5:AB39)+1&gt;0,IF(Podsumowanie!E$7&lt;B39,IF(SUM(AB$5:AB39)-Podsumowanie!E$9+1&gt;0,PMT(M39/12,P39+1-SUM(AB$5:AB39),O39),T39),0),0))</f>
        <v>0</v>
      </c>
      <c r="V39" s="89">
        <f t="shared" si="18"/>
        <v>0</v>
      </c>
      <c r="W39" s="90" t="str">
        <f>IF(R39&gt;0,R39/(C39*(1-Podsumowanie!E$11))," ")</f>
        <v xml:space="preserve"> </v>
      </c>
      <c r="X39" s="90">
        <f t="shared" si="19"/>
        <v>0</v>
      </c>
      <c r="Y39" s="91">
        <f t="shared" si="20"/>
        <v>0</v>
      </c>
      <c r="Z39" s="90">
        <f>IF(P39-SUM(AB$5:AB39)+1&gt;0,IF(Podsumowanie!E$7&lt;B39,IF(SUM(AB$5:AB39)-Podsumowanie!E$9+1&gt;0,PMT(M39/12,P39+1-SUM(AB$5:AB39),N39),Y39),0),0)</f>
        <v>0</v>
      </c>
      <c r="AA39" s="90">
        <f t="shared" si="21"/>
        <v>0</v>
      </c>
      <c r="AB39" s="8" t="str">
        <f>IF(AND(Podsumowanie!E$7&lt;B39,SUM(AB$5:AB38)&lt;P38),1," ")</f>
        <v xml:space="preserve"> </v>
      </c>
      <c r="AD39" s="51">
        <f>IF(OR(B39&lt;Podsumowanie!E$12,Podsumowanie!E$12=""),-F39+S39,0)</f>
        <v>0</v>
      </c>
      <c r="AE39" s="51">
        <f t="shared" si="22"/>
        <v>0</v>
      </c>
      <c r="AG39" s="10">
        <f>Podsumowanie!E$4-SUM(AI$5:AI38)+SUM(W39:W$42)-SUM(X39:X$42)</f>
        <v>181357.6981355522</v>
      </c>
      <c r="AH39" s="10">
        <f t="shared" si="23"/>
        <v>0</v>
      </c>
      <c r="AI39" s="10">
        <f t="shared" si="24"/>
        <v>0</v>
      </c>
      <c r="AJ39" s="10">
        <f t="shared" si="25"/>
        <v>0</v>
      </c>
      <c r="AK39" s="10">
        <f t="shared" si="26"/>
        <v>0</v>
      </c>
      <c r="AL39" s="10">
        <f>Podsumowanie!E$2-SUM(AN$5:AN38)+SUM(R39:R$42)-SUM(S39:S$42)</f>
        <v>400000</v>
      </c>
      <c r="AM39" s="10">
        <f t="shared" si="27"/>
        <v>0</v>
      </c>
      <c r="AN39" s="10">
        <f t="shared" si="28"/>
        <v>0</v>
      </c>
      <c r="AO39" s="10">
        <f t="shared" si="29"/>
        <v>0</v>
      </c>
      <c r="AP39" s="10">
        <f t="shared" si="30"/>
        <v>0</v>
      </c>
      <c r="AR39" s="43">
        <f t="shared" si="31"/>
        <v>38292</v>
      </c>
      <c r="AS39" s="11">
        <f>AS$5+SUM(AV$5:AV38)-SUM(X$5:X39)+SUM(W$5:W39)</f>
        <v>175916.96719148563</v>
      </c>
      <c r="AT39" s="10">
        <f t="shared" si="32"/>
        <v>0</v>
      </c>
      <c r="AU39" s="10">
        <f>IF(AB39=1,IF(Q39="tak",AT39,PMT(M39/12,P39+1-SUM(AB$5:AB39),AS39)),0)</f>
        <v>0</v>
      </c>
      <c r="AV39" s="10">
        <f t="shared" si="33"/>
        <v>0</v>
      </c>
      <c r="AW39" s="10">
        <f t="shared" si="34"/>
        <v>0</v>
      </c>
      <c r="AY39" s="11">
        <f>AY$5+SUM(BA$5:BA38)+SUM(W$5:W38)-SUM(X$5:X38)</f>
        <v>175916.96719148563</v>
      </c>
      <c r="AZ39" s="11">
        <f t="shared" si="35"/>
        <v>0</v>
      </c>
      <c r="BA39" s="11">
        <f t="shared" si="36"/>
        <v>0</v>
      </c>
      <c r="BB39" s="11">
        <f t="shared" si="37"/>
        <v>0</v>
      </c>
      <c r="BC39" s="11">
        <f t="shared" si="38"/>
        <v>0</v>
      </c>
      <c r="BE39" s="172">
        <f t="shared" si="4"/>
        <v>0.0684</v>
      </c>
      <c r="BF39" s="44">
        <f>BE39+Podsumowanie!$E$6</f>
        <v>0.0804</v>
      </c>
      <c r="BG39" s="11">
        <f>BG$5+SUM(BH$5:BH38)+SUM(R$5:R38)-SUM(S$5:S38)</f>
        <v>400000</v>
      </c>
      <c r="BH39" s="10">
        <f t="shared" si="39"/>
        <v>0</v>
      </c>
      <c r="BI39" s="10">
        <f t="shared" si="40"/>
        <v>0</v>
      </c>
      <c r="BJ39" s="10">
        <f>IF(U39&lt;0,PMT(BF39/12,Podsumowanie!E$8-SUM(AB$5:AB39)+1,BG39),0)</f>
        <v>0</v>
      </c>
      <c r="BL39" s="11">
        <f>BL$5+SUM(BN$5:BN38)+SUM(R$5:R38)-SUM(S$5:S38)</f>
        <v>400000</v>
      </c>
      <c r="BM39" s="11">
        <f t="shared" si="5"/>
        <v>0</v>
      </c>
      <c r="BN39" s="11">
        <f t="shared" si="6"/>
        <v>0</v>
      </c>
      <c r="BO39" s="11">
        <f t="shared" si="7"/>
        <v>0</v>
      </c>
      <c r="BQ39" s="44">
        <f t="shared" si="8"/>
        <v>0.0805</v>
      </c>
      <c r="BR39" s="11">
        <f>BR$5+SUM(BS$5:BS38)+SUM(R$5:R38)-SUM(S$5:S38)+SUM(BV$5:BV38)</f>
        <v>400000</v>
      </c>
      <c r="BS39" s="10">
        <f t="shared" si="46"/>
        <v>0</v>
      </c>
      <c r="BT39" s="10">
        <f t="shared" si="47"/>
        <v>0</v>
      </c>
      <c r="BU39" s="10">
        <f>IF(U39&lt;0,PMT(BQ39/12,Podsumowanie!E$8-SUM(AB$5:AB39)+1,BR39),0)</f>
        <v>0</v>
      </c>
      <c r="BV39" s="10">
        <f t="shared" si="41"/>
        <v>0</v>
      </c>
      <c r="BX39" s="11">
        <f>BX$5+SUM(BZ$5:BZ38)+SUM(R$5:R38)-SUM(S$5:S38)+SUM(CB$5,CB38)</f>
        <v>400000</v>
      </c>
      <c r="BY39" s="10">
        <f t="shared" si="9"/>
        <v>0</v>
      </c>
      <c r="BZ39" s="10">
        <f t="shared" si="10"/>
        <v>0</v>
      </c>
      <c r="CA39" s="10">
        <f t="shared" si="48"/>
        <v>0</v>
      </c>
      <c r="CB39" s="10">
        <f t="shared" si="49"/>
        <v>0</v>
      </c>
      <c r="CD39" s="10">
        <f>CD$5+SUM(CE$5:CE38)+SUM(R$5:R38)-SUM(S$5:S38)-SUM(CF$5:CF38)</f>
        <v>400000</v>
      </c>
      <c r="CE39" s="10">
        <f t="shared" si="42"/>
        <v>0</v>
      </c>
      <c r="CF39" s="10">
        <f t="shared" si="43"/>
        <v>0</v>
      </c>
      <c r="CG39" s="10">
        <f t="shared" si="44"/>
        <v>0</v>
      </c>
      <c r="CI39" s="44">
        <v>0.8576</v>
      </c>
      <c r="CJ39" s="10">
        <f t="shared" si="45"/>
        <v>0</v>
      </c>
      <c r="CK39" s="4">
        <f t="shared" si="50"/>
        <v>0</v>
      </c>
      <c r="CM39" s="10">
        <f t="shared" si="51"/>
        <v>0</v>
      </c>
      <c r="CN39" s="4">
        <f t="shared" si="52"/>
        <v>0</v>
      </c>
    </row>
    <row r="40" spans="1:92" ht="15.75">
      <c r="A40" s="36"/>
      <c r="B40" s="37">
        <v>38322</v>
      </c>
      <c r="C40" s="77">
        <f t="shared" si="1"/>
        <v>2.6987</v>
      </c>
      <c r="D40" s="78">
        <f>C40*(1+Podsumowanie!E$11)</f>
        <v>2.7796610000000004</v>
      </c>
      <c r="E40" s="34">
        <f t="shared" si="11"/>
        <v>0</v>
      </c>
      <c r="F40" s="7">
        <f t="shared" si="12"/>
        <v>0</v>
      </c>
      <c r="G40" s="7">
        <f t="shared" si="13"/>
        <v>0</v>
      </c>
      <c r="H40" s="7">
        <f t="shared" si="14"/>
        <v>0</v>
      </c>
      <c r="I40" s="32"/>
      <c r="J40" s="4" t="str">
        <f t="shared" si="15"/>
        <v xml:space="preserve"> </v>
      </c>
      <c r="K40" s="4">
        <f>IF(B40&lt;Podsumowanie!E$7,0,K39+1)</f>
        <v>0</v>
      </c>
      <c r="L40" s="100">
        <f t="shared" si="2"/>
        <v>0.0073</v>
      </c>
      <c r="M40" s="38">
        <f>L40+Podsumowanie!E$6</f>
        <v>0.0193</v>
      </c>
      <c r="N40" s="101">
        <f>MAX(Podsumowanie!E$4+SUM(AA$5:AA39)-SUM(X$5:X40)+SUM(W$5:W40),0)</f>
        <v>181357.6981355522</v>
      </c>
      <c r="O40" s="102">
        <f>MAX(Podsumowanie!E$2+SUM(V$5:V39)-SUM(S$5:S40)+SUM(R$5:R40),0)</f>
        <v>400000</v>
      </c>
      <c r="P40" s="39">
        <f t="shared" si="16"/>
        <v>360</v>
      </c>
      <c r="Q40" s="40" t="str">
        <f>IF(AND(K40&gt;0,K40&lt;=Podsumowanie!E$9),"tak","nie")</f>
        <v>nie</v>
      </c>
      <c r="R40" s="41"/>
      <c r="S40" s="42"/>
      <c r="T40" s="88">
        <f t="shared" si="17"/>
        <v>0</v>
      </c>
      <c r="U40" s="89">
        <f>IF(Q40="tak",T40,IF(P40-SUM(AB$5:AB40)+1&gt;0,IF(Podsumowanie!E$7&lt;B40,IF(SUM(AB$5:AB40)-Podsumowanie!E$9+1&gt;0,PMT(M40/12,P40+1-SUM(AB$5:AB40),O40),T40),0),0))</f>
        <v>0</v>
      </c>
      <c r="V40" s="89">
        <f t="shared" si="18"/>
        <v>0</v>
      </c>
      <c r="W40" s="90" t="str">
        <f>IF(R40&gt;0,R40/(C40*(1-Podsumowanie!E$11))," ")</f>
        <v xml:space="preserve"> </v>
      </c>
      <c r="X40" s="90">
        <f t="shared" si="19"/>
        <v>0</v>
      </c>
      <c r="Y40" s="91">
        <f t="shared" si="20"/>
        <v>0</v>
      </c>
      <c r="Z40" s="90">
        <f>IF(P40-SUM(AB$5:AB40)+1&gt;0,IF(Podsumowanie!E$7&lt;B40,IF(SUM(AB$5:AB40)-Podsumowanie!E$9+1&gt;0,PMT(M40/12,P40+1-SUM(AB$5:AB40),N40),Y40),0),0)</f>
        <v>0</v>
      </c>
      <c r="AA40" s="90">
        <f t="shared" si="21"/>
        <v>0</v>
      </c>
      <c r="AB40" s="8" t="str">
        <f>IF(AND(Podsumowanie!E$7&lt;B40,SUM(AB$5:AB39)&lt;P39),1," ")</f>
        <v xml:space="preserve"> </v>
      </c>
      <c r="AD40" s="51">
        <f>IF(OR(B40&lt;Podsumowanie!E$12,Podsumowanie!E$12=""),-F40+S40,0)</f>
        <v>0</v>
      </c>
      <c r="AE40" s="51">
        <f t="shared" si="22"/>
        <v>0</v>
      </c>
      <c r="AG40" s="10">
        <f>Podsumowanie!E$4-SUM(AI$5:AI39)+SUM(W40:W$42)-SUM(X40:X$42)</f>
        <v>181357.6981355522</v>
      </c>
      <c r="AH40" s="10">
        <f t="shared" si="23"/>
        <v>0</v>
      </c>
      <c r="AI40" s="10">
        <f t="shared" si="24"/>
        <v>0</v>
      </c>
      <c r="AJ40" s="10">
        <f t="shared" si="25"/>
        <v>0</v>
      </c>
      <c r="AK40" s="10">
        <f t="shared" si="26"/>
        <v>0</v>
      </c>
      <c r="AL40" s="10">
        <f>Podsumowanie!E$2-SUM(AN$5:AN39)+SUM(R40:R$42)-SUM(S40:S$42)</f>
        <v>400000</v>
      </c>
      <c r="AM40" s="10">
        <f t="shared" si="27"/>
        <v>0</v>
      </c>
      <c r="AN40" s="10">
        <f t="shared" si="28"/>
        <v>0</v>
      </c>
      <c r="AO40" s="10">
        <f t="shared" si="29"/>
        <v>0</v>
      </c>
      <c r="AP40" s="10">
        <f t="shared" si="30"/>
        <v>0</v>
      </c>
      <c r="AR40" s="43">
        <f t="shared" si="31"/>
        <v>38322</v>
      </c>
      <c r="AS40" s="11">
        <f>AS$5+SUM(AV$5:AV39)-SUM(X$5:X40)+SUM(W$5:W40)</f>
        <v>175916.96719148563</v>
      </c>
      <c r="AT40" s="10">
        <f t="shared" si="32"/>
        <v>0</v>
      </c>
      <c r="AU40" s="10">
        <f>IF(AB40=1,IF(Q40="tak",AT40,PMT(M40/12,P40+1-SUM(AB$5:AB40),AS40)),0)</f>
        <v>0</v>
      </c>
      <c r="AV40" s="10">
        <f t="shared" si="33"/>
        <v>0</v>
      </c>
      <c r="AW40" s="10">
        <f t="shared" si="34"/>
        <v>0</v>
      </c>
      <c r="AY40" s="11">
        <f>AY$5+SUM(BA$5:BA39)+SUM(W$5:W39)-SUM(X$5:X39)</f>
        <v>175916.96719148563</v>
      </c>
      <c r="AZ40" s="11">
        <f t="shared" si="35"/>
        <v>0</v>
      </c>
      <c r="BA40" s="11">
        <f t="shared" si="36"/>
        <v>0</v>
      </c>
      <c r="BB40" s="11">
        <f t="shared" si="37"/>
        <v>0</v>
      </c>
      <c r="BC40" s="11">
        <f t="shared" si="38"/>
        <v>0</v>
      </c>
      <c r="BE40" s="172">
        <f t="shared" si="4"/>
        <v>0.0676</v>
      </c>
      <c r="BF40" s="44">
        <f>BE40+Podsumowanie!$E$6</f>
        <v>0.07959999999999999</v>
      </c>
      <c r="BG40" s="11">
        <f>BG$5+SUM(BH$5:BH39)+SUM(R$5:R39)-SUM(S$5:S39)</f>
        <v>400000</v>
      </c>
      <c r="BH40" s="10">
        <f t="shared" si="39"/>
        <v>0</v>
      </c>
      <c r="BI40" s="10">
        <f t="shared" si="40"/>
        <v>0</v>
      </c>
      <c r="BJ40" s="10">
        <f>IF(U40&lt;0,PMT(BF40/12,Podsumowanie!E$8-SUM(AB$5:AB40)+1,BG40),0)</f>
        <v>0</v>
      </c>
      <c r="BL40" s="11">
        <f>BL$5+SUM(BN$5:BN39)+SUM(R$5:R39)-SUM(S$5:S39)</f>
        <v>400000</v>
      </c>
      <c r="BM40" s="11">
        <f t="shared" si="5"/>
        <v>0</v>
      </c>
      <c r="BN40" s="11">
        <f t="shared" si="6"/>
        <v>0</v>
      </c>
      <c r="BO40" s="11">
        <f t="shared" si="7"/>
        <v>0</v>
      </c>
      <c r="BQ40" s="44">
        <f t="shared" si="8"/>
        <v>0.0797</v>
      </c>
      <c r="BR40" s="11">
        <f>BR$5+SUM(BS$5:BS39)+SUM(R$5:R39)-SUM(S$5:S39)+SUM(BV$5:BV39)</f>
        <v>400000</v>
      </c>
      <c r="BS40" s="10">
        <f t="shared" si="46"/>
        <v>0</v>
      </c>
      <c r="BT40" s="10">
        <f t="shared" si="47"/>
        <v>0</v>
      </c>
      <c r="BU40" s="10">
        <f>IF(U40&lt;0,PMT(BQ40/12,Podsumowanie!E$8-SUM(AB$5:AB40)+1,BR40),0)</f>
        <v>0</v>
      </c>
      <c r="BV40" s="10">
        <f t="shared" si="41"/>
        <v>0</v>
      </c>
      <c r="BX40" s="11">
        <f>BX$5+SUM(BZ$5:BZ39)+SUM(R$5:R39)-SUM(S$5:S39)+SUM(CB$5,CB39)</f>
        <v>400000</v>
      </c>
      <c r="BY40" s="10">
        <f t="shared" si="9"/>
        <v>0</v>
      </c>
      <c r="BZ40" s="10">
        <f t="shared" si="10"/>
        <v>0</v>
      </c>
      <c r="CA40" s="10">
        <f t="shared" si="48"/>
        <v>0</v>
      </c>
      <c r="CB40" s="10">
        <f t="shared" si="49"/>
        <v>0</v>
      </c>
      <c r="CD40" s="10">
        <f>CD$5+SUM(CE$5:CE39)+SUM(R$5:R39)-SUM(S$5:S39)-SUM(CF$5:CF39)</f>
        <v>400000</v>
      </c>
      <c r="CE40" s="10">
        <f t="shared" si="42"/>
        <v>0</v>
      </c>
      <c r="CF40" s="10">
        <f t="shared" si="43"/>
        <v>0</v>
      </c>
      <c r="CG40" s="10">
        <f t="shared" si="44"/>
        <v>0</v>
      </c>
      <c r="CI40" s="44">
        <v>0.8521</v>
      </c>
      <c r="CJ40" s="10">
        <f t="shared" si="45"/>
        <v>0</v>
      </c>
      <c r="CK40" s="4">
        <f t="shared" si="50"/>
        <v>0</v>
      </c>
      <c r="CM40" s="10">
        <f t="shared" si="51"/>
        <v>0</v>
      </c>
      <c r="CN40" s="4">
        <f t="shared" si="52"/>
        <v>0</v>
      </c>
    </row>
    <row r="41" spans="1:92" ht="15.75">
      <c r="A41" s="36">
        <v>2005</v>
      </c>
      <c r="B41" s="37">
        <v>38353</v>
      </c>
      <c r="C41" s="77">
        <f t="shared" si="1"/>
        <v>2.639</v>
      </c>
      <c r="D41" s="78">
        <f>C41*(1+Podsumowanie!E$11)</f>
        <v>2.7181699999999998</v>
      </c>
      <c r="E41" s="34">
        <f t="shared" si="11"/>
        <v>0</v>
      </c>
      <c r="F41" s="7">
        <f t="shared" si="12"/>
        <v>0</v>
      </c>
      <c r="G41" s="7">
        <f t="shared" si="13"/>
        <v>0</v>
      </c>
      <c r="H41" s="7">
        <f t="shared" si="14"/>
        <v>0</v>
      </c>
      <c r="I41" s="32"/>
      <c r="J41" s="4" t="str">
        <f t="shared" si="15"/>
        <v xml:space="preserve"> </v>
      </c>
      <c r="K41" s="4">
        <f>IF(B41&lt;Podsumowanie!E$7,0,K40+1)</f>
        <v>0</v>
      </c>
      <c r="L41" s="100">
        <f t="shared" si="2"/>
        <v>0.0071</v>
      </c>
      <c r="M41" s="38">
        <f>L41+Podsumowanie!E$6</f>
        <v>0.0191</v>
      </c>
      <c r="N41" s="101">
        <f>MAX(Podsumowanie!E$4+SUM(AA$5:AA40)-SUM(X$5:X41)+SUM(W$5:W41),0)</f>
        <v>181357.6981355522</v>
      </c>
      <c r="O41" s="102">
        <f>MAX(Podsumowanie!E$2+SUM(V$5:V40)-SUM(S$5:S41)+SUM(R$5:R41),0)</f>
        <v>400000</v>
      </c>
      <c r="P41" s="39">
        <f t="shared" si="16"/>
        <v>360</v>
      </c>
      <c r="Q41" s="40" t="str">
        <f>IF(AND(K41&gt;0,K41&lt;=Podsumowanie!E$9),"tak","nie")</f>
        <v>nie</v>
      </c>
      <c r="R41" s="41"/>
      <c r="S41" s="42"/>
      <c r="T41" s="88">
        <f t="shared" si="17"/>
        <v>0</v>
      </c>
      <c r="U41" s="89">
        <f>IF(Q41="tak",T41,IF(P41-SUM(AB$5:AB41)+1&gt;0,IF(Podsumowanie!E$7&lt;B41,IF(SUM(AB$5:AB41)-Podsumowanie!E$9+1&gt;0,PMT(M41/12,P41+1-SUM(AB$5:AB41),O41),T41),0),0))</f>
        <v>0</v>
      </c>
      <c r="V41" s="89">
        <f t="shared" si="18"/>
        <v>0</v>
      </c>
      <c r="W41" s="90" t="str">
        <f>IF(R41&gt;0,R41/(C41*(1-Podsumowanie!E$11))," ")</f>
        <v xml:space="preserve"> </v>
      </c>
      <c r="X41" s="90">
        <f t="shared" si="19"/>
        <v>0</v>
      </c>
      <c r="Y41" s="91">
        <f t="shared" si="20"/>
        <v>0</v>
      </c>
      <c r="Z41" s="90">
        <f>IF(P41-SUM(AB$5:AB41)+1&gt;0,IF(Podsumowanie!E$7&lt;B41,IF(SUM(AB$5:AB41)-Podsumowanie!E$9+1&gt;0,PMT(M41/12,P41+1-SUM(AB$5:AB41),N41),Y41),0),0)</f>
        <v>0</v>
      </c>
      <c r="AA41" s="90">
        <f t="shared" si="21"/>
        <v>0</v>
      </c>
      <c r="AB41" s="8" t="str">
        <f>IF(AND(Podsumowanie!E$7&lt;B41,SUM(AB$5:AB40)&lt;P40),1," ")</f>
        <v xml:space="preserve"> </v>
      </c>
      <c r="AD41" s="51">
        <f>IF(OR(B41&lt;Podsumowanie!E$12,Podsumowanie!E$12=""),-F41+S41,0)</f>
        <v>0</v>
      </c>
      <c r="AE41" s="51">
        <f t="shared" si="22"/>
        <v>0</v>
      </c>
      <c r="AG41" s="10">
        <f>Podsumowanie!E$4-SUM(AI$5:AI40)+SUM(W41:W$42)-SUM(X41:X$42)</f>
        <v>181357.6981355522</v>
      </c>
      <c r="AH41" s="10">
        <f t="shared" si="23"/>
        <v>0</v>
      </c>
      <c r="AI41" s="10">
        <f t="shared" si="24"/>
        <v>0</v>
      </c>
      <c r="AJ41" s="10">
        <f t="shared" si="25"/>
        <v>0</v>
      </c>
      <c r="AK41" s="10">
        <f t="shared" si="26"/>
        <v>0</v>
      </c>
      <c r="AL41" s="10">
        <f>Podsumowanie!E$2-SUM(AN$5:AN40)+SUM(R41:R$42)-SUM(S41:S$42)</f>
        <v>400000</v>
      </c>
      <c r="AM41" s="10">
        <f t="shared" si="27"/>
        <v>0</v>
      </c>
      <c r="AN41" s="10">
        <f t="shared" si="28"/>
        <v>0</v>
      </c>
      <c r="AO41" s="10">
        <f t="shared" si="29"/>
        <v>0</v>
      </c>
      <c r="AP41" s="10">
        <f t="shared" si="30"/>
        <v>0</v>
      </c>
      <c r="AR41" s="43">
        <f t="shared" si="31"/>
        <v>38353</v>
      </c>
      <c r="AS41" s="11">
        <f>AS$5+SUM(AV$5:AV40)-SUM(X$5:X41)+SUM(W$5:W41)</f>
        <v>175916.96719148563</v>
      </c>
      <c r="AT41" s="10">
        <f t="shared" si="32"/>
        <v>0</v>
      </c>
      <c r="AU41" s="10">
        <f>IF(AB41=1,IF(Q41="tak",AT41,PMT(M41/12,P41+1-SUM(AB$5:AB41),AS41)),0)</f>
        <v>0</v>
      </c>
      <c r="AV41" s="10">
        <f t="shared" si="33"/>
        <v>0</v>
      </c>
      <c r="AW41" s="10">
        <f t="shared" si="34"/>
        <v>0</v>
      </c>
      <c r="AY41" s="11">
        <f>AY$5+SUM(BA$5:BA40)+SUM(W$5:W40)-SUM(X$5:X40)</f>
        <v>175916.96719148563</v>
      </c>
      <c r="AZ41" s="11">
        <f t="shared" si="35"/>
        <v>0</v>
      </c>
      <c r="BA41" s="11">
        <f t="shared" si="36"/>
        <v>0</v>
      </c>
      <c r="BB41" s="11">
        <f t="shared" si="37"/>
        <v>0</v>
      </c>
      <c r="BC41" s="11">
        <f t="shared" si="38"/>
        <v>0</v>
      </c>
      <c r="BE41" s="172">
        <f t="shared" si="4"/>
        <v>0.0663</v>
      </c>
      <c r="BF41" s="44">
        <f>BE41+Podsumowanie!$E$6</f>
        <v>0.0783</v>
      </c>
      <c r="BG41" s="11">
        <f>BG$5+SUM(BH$5:BH40)+SUM(R$5:R40)-SUM(S$5:S40)</f>
        <v>400000</v>
      </c>
      <c r="BH41" s="10">
        <f t="shared" si="39"/>
        <v>0</v>
      </c>
      <c r="BI41" s="10">
        <f t="shared" si="40"/>
        <v>0</v>
      </c>
      <c r="BJ41" s="10">
        <f>IF(U41&lt;0,PMT(BF41/12,Podsumowanie!E$8-SUM(AB$5:AB41)+1,BG41),0)</f>
        <v>0</v>
      </c>
      <c r="BL41" s="11">
        <f>BL$5+SUM(BN$5:BN40)+SUM(R$5:R40)-SUM(S$5:S40)</f>
        <v>400000</v>
      </c>
      <c r="BM41" s="11">
        <f t="shared" si="5"/>
        <v>0</v>
      </c>
      <c r="BN41" s="11">
        <f t="shared" si="6"/>
        <v>0</v>
      </c>
      <c r="BO41" s="11">
        <f t="shared" si="7"/>
        <v>0</v>
      </c>
      <c r="BQ41" s="44">
        <f t="shared" si="8"/>
        <v>0.0784</v>
      </c>
      <c r="BR41" s="11">
        <f>BR$5+SUM(BS$5:BS40)+SUM(R$5:R40)-SUM(S$5:S40)+SUM(BV$5:BV40)</f>
        <v>400000</v>
      </c>
      <c r="BS41" s="10">
        <f t="shared" si="46"/>
        <v>0</v>
      </c>
      <c r="BT41" s="10">
        <f t="shared" si="47"/>
        <v>0</v>
      </c>
      <c r="BU41" s="10">
        <f>IF(U41&lt;0,PMT(BQ41/12,Podsumowanie!E$8-SUM(AB$5:AB41)+1,BR41),0)</f>
        <v>0</v>
      </c>
      <c r="BV41" s="10">
        <f t="shared" si="41"/>
        <v>0</v>
      </c>
      <c r="BX41" s="11">
        <f>BX$5+SUM(BZ$5:BZ40)+SUM(R$5:R40)-SUM(S$5:S40)+SUM(CB$5,CB40)</f>
        <v>400000</v>
      </c>
      <c r="BY41" s="10">
        <f t="shared" si="9"/>
        <v>0</v>
      </c>
      <c r="BZ41" s="10">
        <f t="shared" si="10"/>
        <v>0</v>
      </c>
      <c r="CA41" s="10">
        <f t="shared" si="48"/>
        <v>0</v>
      </c>
      <c r="CB41" s="10">
        <f t="shared" si="49"/>
        <v>0</v>
      </c>
      <c r="CD41" s="10">
        <f>CD$5+SUM(CE$5:CE40)+SUM(R$5:R40)-SUM(S$5:S40)-SUM(CF$5:CF40)</f>
        <v>400000</v>
      </c>
      <c r="CE41" s="10">
        <f t="shared" si="42"/>
        <v>0</v>
      </c>
      <c r="CF41" s="10">
        <f t="shared" si="43"/>
        <v>0</v>
      </c>
      <c r="CG41" s="10">
        <f t="shared" si="44"/>
        <v>0</v>
      </c>
      <c r="CI41" s="44">
        <v>0.8502</v>
      </c>
      <c r="CJ41" s="10">
        <f t="shared" si="45"/>
        <v>0</v>
      </c>
      <c r="CK41" s="4">
        <f t="shared" si="50"/>
        <v>0</v>
      </c>
      <c r="CM41" s="10">
        <f t="shared" si="51"/>
        <v>0</v>
      </c>
      <c r="CN41" s="4">
        <f t="shared" si="52"/>
        <v>0</v>
      </c>
    </row>
    <row r="42" spans="1:92" ht="15.75">
      <c r="A42" s="36"/>
      <c r="B42" s="37">
        <v>38384</v>
      </c>
      <c r="C42" s="77">
        <f t="shared" si="1"/>
        <v>2.5698</v>
      </c>
      <c r="D42" s="78">
        <f>C42*(1+Podsumowanie!E$11)</f>
        <v>2.646894</v>
      </c>
      <c r="E42" s="34">
        <f t="shared" si="11"/>
        <v>0</v>
      </c>
      <c r="F42" s="7">
        <f t="shared" si="12"/>
        <v>0</v>
      </c>
      <c r="G42" s="7">
        <f t="shared" si="13"/>
        <v>0</v>
      </c>
      <c r="H42" s="7">
        <f t="shared" si="14"/>
        <v>0</v>
      </c>
      <c r="I42" s="32"/>
      <c r="J42" s="4" t="str">
        <f t="shared" si="15"/>
        <v xml:space="preserve"> </v>
      </c>
      <c r="K42" s="4">
        <f>IF(B42&lt;Podsumowanie!E$7,0,K41+1)</f>
        <v>0</v>
      </c>
      <c r="L42" s="100">
        <f t="shared" si="2"/>
        <v>0.0075</v>
      </c>
      <c r="M42" s="38">
        <f>L42+Podsumowanie!E$6</f>
        <v>0.0195</v>
      </c>
      <c r="N42" s="101">
        <f>MAX(Podsumowanie!E$4+SUM(AA$5:AA41)-SUM(X$5:X42)+SUM(W$5:W42),0)</f>
        <v>181357.6981355522</v>
      </c>
      <c r="O42" s="102">
        <f>MAX(Podsumowanie!E$2+SUM(V$5:V41)-SUM(S$5:S42)+SUM(R$5:R42),0)</f>
        <v>400000</v>
      </c>
      <c r="P42" s="39">
        <f t="shared" si="16"/>
        <v>360</v>
      </c>
      <c r="Q42" s="40" t="str">
        <f>IF(AND(K42&gt;0,K42&lt;=Podsumowanie!E$9),"tak","nie")</f>
        <v>nie</v>
      </c>
      <c r="R42" s="41"/>
      <c r="S42" s="42"/>
      <c r="T42" s="88">
        <f t="shared" si="17"/>
        <v>0</v>
      </c>
      <c r="U42" s="89">
        <f>IF(Q42="tak",T42,IF(P42-SUM(AB$5:AB42)+1&gt;0,IF(Podsumowanie!E$7&lt;B42,IF(SUM(AB$5:AB42)-Podsumowanie!E$9+1&gt;0,PMT(M42/12,P42+1-SUM(AB$5:AB42),O42),T42),0),0))</f>
        <v>0</v>
      </c>
      <c r="V42" s="89">
        <f t="shared" si="18"/>
        <v>0</v>
      </c>
      <c r="W42" s="90" t="str">
        <f>IF(R42&gt;0,R42/(C42*(1-Podsumowanie!E$11))," ")</f>
        <v xml:space="preserve"> </v>
      </c>
      <c r="X42" s="90">
        <f t="shared" si="19"/>
        <v>0</v>
      </c>
      <c r="Y42" s="91">
        <f t="shared" si="20"/>
        <v>0</v>
      </c>
      <c r="Z42" s="90">
        <f>IF(P42-SUM(AB$5:AB42)+1&gt;0,IF(Podsumowanie!E$7&lt;B42,IF(SUM(AB$5:AB42)-Podsumowanie!E$9+1&gt;0,PMT(M42/12,P42+1-SUM(AB$5:AB42),N42),Y42),0),0)</f>
        <v>0</v>
      </c>
      <c r="AA42" s="90">
        <f t="shared" si="21"/>
        <v>0</v>
      </c>
      <c r="AB42" s="8" t="str">
        <f>IF(AND(Podsumowanie!E$7&lt;B42,SUM(AB$5:AB41)&lt;P41),1," ")</f>
        <v xml:space="preserve"> </v>
      </c>
      <c r="AD42" s="51">
        <f>IF(OR(B42&lt;Podsumowanie!E$12,Podsumowanie!E$12=""),-F42+S42,0)</f>
        <v>0</v>
      </c>
      <c r="AE42" s="51">
        <f t="shared" si="22"/>
        <v>0</v>
      </c>
      <c r="AG42" s="10">
        <f>Podsumowanie!E$4-SUM(AI$5:AI41)+SUM(W$42:W42)-SUM(X$42:X42)</f>
        <v>181357.6981355522</v>
      </c>
      <c r="AH42" s="10">
        <f t="shared" si="23"/>
        <v>0</v>
      </c>
      <c r="AI42" s="10">
        <f t="shared" si="24"/>
        <v>0</v>
      </c>
      <c r="AJ42" s="10">
        <f t="shared" si="25"/>
        <v>0</v>
      </c>
      <c r="AK42" s="10">
        <f t="shared" si="26"/>
        <v>0</v>
      </c>
      <c r="AL42" s="10">
        <f>Podsumowanie!E$2-SUM(AN$5:AN41)+SUM(R$42:R42)-SUM(S$42:S42)</f>
        <v>400000</v>
      </c>
      <c r="AM42" s="10">
        <f t="shared" si="27"/>
        <v>0</v>
      </c>
      <c r="AN42" s="10">
        <f t="shared" si="28"/>
        <v>0</v>
      </c>
      <c r="AO42" s="10">
        <f t="shared" si="29"/>
        <v>0</v>
      </c>
      <c r="AP42" s="10">
        <f t="shared" si="30"/>
        <v>0</v>
      </c>
      <c r="AR42" s="43">
        <f t="shared" si="31"/>
        <v>38384</v>
      </c>
      <c r="AS42" s="11">
        <f>AS$5+SUM(AV$5:AV41)-SUM(X$5:X42)+SUM(W$5:W42)</f>
        <v>175916.96719148563</v>
      </c>
      <c r="AT42" s="10">
        <f t="shared" si="32"/>
        <v>0</v>
      </c>
      <c r="AU42" s="10">
        <f>IF(AB42=1,IF(Q42="tak",AT42,PMT(M42/12,P42+1-SUM(AB$5:AB42),AS42)),0)</f>
        <v>0</v>
      </c>
      <c r="AV42" s="10">
        <f t="shared" si="33"/>
        <v>0</v>
      </c>
      <c r="AW42" s="10">
        <f t="shared" si="34"/>
        <v>0</v>
      </c>
      <c r="AY42" s="11">
        <f>AY$5+SUM(BA$5:BA41)+SUM(W$5:W41)-SUM(X$5:X41)</f>
        <v>175916.96719148563</v>
      </c>
      <c r="AZ42" s="11">
        <f t="shared" si="35"/>
        <v>0</v>
      </c>
      <c r="BA42" s="11">
        <f t="shared" si="36"/>
        <v>0</v>
      </c>
      <c r="BB42" s="11">
        <f t="shared" si="37"/>
        <v>0</v>
      </c>
      <c r="BC42" s="11">
        <f t="shared" si="38"/>
        <v>0</v>
      </c>
      <c r="BE42" s="172">
        <f t="shared" si="4"/>
        <v>0.0654</v>
      </c>
      <c r="BF42" s="44">
        <f>BE42+Podsumowanie!$E$6</f>
        <v>0.0774</v>
      </c>
      <c r="BG42" s="11">
        <f>BG$5+SUM(BH$5:BH41)+SUM(R$5:R41)-SUM(S$5:S41)</f>
        <v>400000</v>
      </c>
      <c r="BH42" s="10">
        <f t="shared" si="39"/>
        <v>0</v>
      </c>
      <c r="BI42" s="10">
        <f t="shared" si="40"/>
        <v>0</v>
      </c>
      <c r="BJ42" s="10">
        <f>IF(U42&lt;0,PMT(BF42/12,Podsumowanie!E$8-SUM(AB$5:AB42)+1,BG42),0)</f>
        <v>0</v>
      </c>
      <c r="BL42" s="11">
        <f>BL$5+SUM(BN$5:BN41)+SUM(R$5:R41)-SUM(S$5:S41)</f>
        <v>400000</v>
      </c>
      <c r="BM42" s="11">
        <f t="shared" si="5"/>
        <v>0</v>
      </c>
      <c r="BN42" s="11">
        <f t="shared" si="6"/>
        <v>0</v>
      </c>
      <c r="BO42" s="11">
        <f t="shared" si="7"/>
        <v>0</v>
      </c>
      <c r="BQ42" s="44">
        <f t="shared" si="8"/>
        <v>0.0775</v>
      </c>
      <c r="BR42" s="11">
        <f>BR$5+SUM(BS$5:BS41)+SUM(R$5:R41)-SUM(S$5:S41)+SUM(BV$5:BV41)</f>
        <v>400000</v>
      </c>
      <c r="BS42" s="10">
        <f t="shared" si="46"/>
        <v>0</v>
      </c>
      <c r="BT42" s="10">
        <f t="shared" si="47"/>
        <v>0</v>
      </c>
      <c r="BU42" s="10">
        <f>IF(U42&lt;0,PMT(BQ42/12,Podsumowanie!E$8-SUM(AB$5:AB42)+1,BR42),0)</f>
        <v>0</v>
      </c>
      <c r="BV42" s="10">
        <f t="shared" si="41"/>
        <v>0</v>
      </c>
      <c r="BX42" s="11">
        <f>BX$5+SUM(BZ$5:BZ41)+SUM(R$5:R41)-SUM(S$5:S41)+SUM(CB$5,CB41)</f>
        <v>400000</v>
      </c>
      <c r="BY42" s="10">
        <f t="shared" si="9"/>
        <v>0</v>
      </c>
      <c r="BZ42" s="10">
        <f t="shared" si="10"/>
        <v>0</v>
      </c>
      <c r="CA42" s="10">
        <f t="shared" si="48"/>
        <v>0</v>
      </c>
      <c r="CB42" s="10">
        <f t="shared" si="49"/>
        <v>0</v>
      </c>
      <c r="CD42" s="10">
        <f>CD$5+SUM(CE$5:CE41)+SUM(R$5:R41)-SUM(S$5:S41)-SUM(CF$5:CF41)</f>
        <v>400000</v>
      </c>
      <c r="CE42" s="10">
        <f t="shared" si="42"/>
        <v>0</v>
      </c>
      <c r="CF42" s="10">
        <f t="shared" si="43"/>
        <v>0</v>
      </c>
      <c r="CG42" s="10">
        <f t="shared" si="44"/>
        <v>0</v>
      </c>
      <c r="CI42" s="44">
        <v>0.8484</v>
      </c>
      <c r="CJ42" s="10">
        <f t="shared" si="45"/>
        <v>0</v>
      </c>
      <c r="CK42" s="4">
        <f t="shared" si="50"/>
        <v>0</v>
      </c>
      <c r="CM42" s="10">
        <f t="shared" si="51"/>
        <v>0</v>
      </c>
      <c r="CN42" s="4">
        <f t="shared" si="52"/>
        <v>0</v>
      </c>
    </row>
    <row r="43" spans="1:92" ht="15.75">
      <c r="A43" s="45"/>
      <c r="B43" s="37">
        <v>38412</v>
      </c>
      <c r="C43" s="77">
        <f t="shared" si="1"/>
        <v>2.5945</v>
      </c>
      <c r="D43" s="78">
        <f>C43*(1+Podsumowanie!E$11)</f>
        <v>2.672335</v>
      </c>
      <c r="E43" s="34">
        <f aca="true" t="shared" si="53" ref="E43:E105">Z43</f>
        <v>0</v>
      </c>
      <c r="F43" s="7">
        <f aca="true" t="shared" si="54" ref="F43:F53">E43*D43</f>
        <v>0</v>
      </c>
      <c r="G43" s="7">
        <f aca="true" t="shared" si="55" ref="G43:G105">U43</f>
        <v>0</v>
      </c>
      <c r="H43" s="7">
        <f aca="true" t="shared" si="56" ref="H43:H53">G43-F43</f>
        <v>0</v>
      </c>
      <c r="I43" s="32"/>
      <c r="J43" s="4" t="str">
        <f aca="true" t="shared" si="57" ref="J43:J72">IF(H43&lt;0,"Ze względu na spadek kursu CHF, rata jest korzystniejsza niż bez klauzuli indeksacyjnej"," ")</f>
        <v xml:space="preserve"> </v>
      </c>
      <c r="K43" s="4">
        <f>IF(B43&lt;Podsumowanie!E$7,0,K42+1)</f>
        <v>0</v>
      </c>
      <c r="L43" s="100">
        <f t="shared" si="2"/>
        <v>0.007583</v>
      </c>
      <c r="M43" s="38">
        <f>L43+Podsumowanie!E$6</f>
        <v>0.019583</v>
      </c>
      <c r="N43" s="101">
        <f>MAX(Podsumowanie!E$4+SUM(AA$5:AA42)-SUM(X$5:X43)+SUM(W$5:W43),0)</f>
        <v>181357.6981355522</v>
      </c>
      <c r="O43" s="102">
        <f>MAX(Podsumowanie!E$2+SUM(V$5:V42)-SUM(S$5:S43)+SUM(R$5:R43),0)</f>
        <v>400000</v>
      </c>
      <c r="P43" s="39">
        <f aca="true" t="shared" si="58" ref="P43:P106">P42</f>
        <v>360</v>
      </c>
      <c r="Q43" s="40" t="str">
        <f>IF(AND(K43&gt;0,K43&lt;=Podsumowanie!E$9),"tak","nie")</f>
        <v>nie</v>
      </c>
      <c r="R43" s="41"/>
      <c r="S43" s="42"/>
      <c r="T43" s="88">
        <f aca="true" t="shared" si="59" ref="T43:T105">IF(AB43=1,-O43*M43/12,0)</f>
        <v>0</v>
      </c>
      <c r="U43" s="89">
        <f>IF(Q43="tak",T43,IF(P43-SUM(AB$5:AB43)+1&gt;0,IF(Podsumowanie!E$7&lt;B43,IF(SUM(AB$5:AB43)-Podsumowanie!E$9+1&gt;0,PMT(M43/12,P43+1-SUM(AB$5:AB43),O43),T43),0),0))</f>
        <v>0</v>
      </c>
      <c r="V43" s="89">
        <f aca="true" t="shared" si="60" ref="V43:V56">U43-T43</f>
        <v>0</v>
      </c>
      <c r="W43" s="90" t="str">
        <f>IF(R43&gt;0,R43/(C43*(1-Podsumowanie!E$11))," ")</f>
        <v xml:space="preserve"> </v>
      </c>
      <c r="X43" s="90">
        <f t="shared" si="19"/>
        <v>0</v>
      </c>
      <c r="Y43" s="91">
        <f t="shared" si="3"/>
        <v>0</v>
      </c>
      <c r="Z43" s="90">
        <f>IF(P43-SUM(AB$5:AB43)+1&gt;0,IF(Podsumowanie!E$7&lt;B43,IF(SUM(AB$5:AB43)-Podsumowanie!E$9+1&gt;0,PMT(M43/12,P43+1-SUM(AB$5:AB43),N43),Y43),0),0)</f>
        <v>0</v>
      </c>
      <c r="AA43" s="90">
        <f aca="true" t="shared" si="61" ref="AA43:AA51">Z43-Y43</f>
        <v>0</v>
      </c>
      <c r="AB43" s="8" t="str">
        <f>IF(AND(Podsumowanie!E$7&lt;B43,SUM(AB$5:AB42)&lt;P42),1," ")</f>
        <v xml:space="preserve"> </v>
      </c>
      <c r="AD43" s="51">
        <f>IF(OR(B43&lt;Podsumowanie!E$12,Podsumowanie!E$12=""),-F43+S43,0)</f>
        <v>0</v>
      </c>
      <c r="AE43" s="51">
        <f t="shared" si="22"/>
        <v>0</v>
      </c>
      <c r="AG43" s="10">
        <f>Podsumowanie!E$4-SUM(AI$5:AI42)+SUM(W$42:W43)-SUM(X$42:X43)</f>
        <v>181357.6981355522</v>
      </c>
      <c r="AH43" s="10">
        <f aca="true" t="shared" si="62" ref="AH43:AH105">IF(AB43=1,ROUND(AG43*M43/12,2),0)</f>
        <v>0</v>
      </c>
      <c r="AI43" s="10">
        <f aca="true" t="shared" si="63" ref="AI43:AI105">IF(Q43="tak",0,IF(AB43=1,ROUND(AG43/(P43-K43+1),2),0))</f>
        <v>0</v>
      </c>
      <c r="AJ43" s="10">
        <f aca="true" t="shared" si="64" ref="AJ43:AJ106">AI43+AH43</f>
        <v>0</v>
      </c>
      <c r="AK43" s="10">
        <f aca="true" t="shared" si="65" ref="AK43:AK72">ROUND(AJ43*D43,2)</f>
        <v>0</v>
      </c>
      <c r="AL43" s="10">
        <f>Podsumowanie!E$2-SUM(AN$5:AN42)+SUM(R$42:R43)-SUM(S$42:S43)</f>
        <v>400000</v>
      </c>
      <c r="AM43" s="10">
        <f aca="true" t="shared" si="66" ref="AM43:AM105">IF(AB43=1,ROUND(AL43*M43/12,2),0)</f>
        <v>0</v>
      </c>
      <c r="AN43" s="10">
        <f aca="true" t="shared" si="67" ref="AN43:AN105">IF(Q43="tak",0,IF(AB43=1,ROUND(AL43/(P43-K43+1),2),0))</f>
        <v>0</v>
      </c>
      <c r="AO43" s="10">
        <f aca="true" t="shared" si="68" ref="AO43:AO105">AN43+AM43</f>
        <v>0</v>
      </c>
      <c r="AP43" s="10">
        <f aca="true" t="shared" si="69" ref="AP43:AP105">AK43-AO43</f>
        <v>0</v>
      </c>
      <c r="AR43" s="43">
        <f aca="true" t="shared" si="70" ref="AR43:AR72">B43</f>
        <v>38412</v>
      </c>
      <c r="AS43" s="11">
        <f>AS$5+SUM(AV$5:AV42)-SUM(X$5:X43)+SUM(W$5:W43)</f>
        <v>175916.96719148563</v>
      </c>
      <c r="AT43" s="10">
        <f aca="true" t="shared" si="71" ref="AT43:AT105">IF(AB43=1,-AS43*M43/12,0)</f>
        <v>0</v>
      </c>
      <c r="AU43" s="10">
        <f>IF(AB43=1,IF(Q43="tak",AT43,PMT(M43/12,P43+1-SUM(AB$5:AB43),AS43)),0)</f>
        <v>0</v>
      </c>
      <c r="AV43" s="10">
        <f aca="true" t="shared" si="72" ref="AV43:AV105">AU43-AT43</f>
        <v>0</v>
      </c>
      <c r="AW43" s="10">
        <f aca="true" t="shared" si="73" ref="AW43:AW105">AU43*C43</f>
        <v>0</v>
      </c>
      <c r="AY43" s="11">
        <f>AY$5+SUM(BA$5:BA42)+SUM(W$5:W42)-SUM(X$5:X42)</f>
        <v>175916.96719148563</v>
      </c>
      <c r="AZ43" s="11">
        <f aca="true" t="shared" si="74" ref="AZ43:AZ105">IF(AB43=1,-AS43*M43/12,0)</f>
        <v>0</v>
      </c>
      <c r="BA43" s="11">
        <f aca="true" t="shared" si="75" ref="BA43:BA105">IF(AB43=1,IF(Q43="tak",0,ROUND(-AY43/(P43-K43+1),2)),0)</f>
        <v>0</v>
      </c>
      <c r="BB43" s="11">
        <f aca="true" t="shared" si="76" ref="BB43:BB105">BA43+AZ43</f>
        <v>0</v>
      </c>
      <c r="BC43" s="11">
        <f aca="true" t="shared" si="77" ref="BC43:BC72">BB43*C43</f>
        <v>0</v>
      </c>
      <c r="BE43" s="172">
        <f t="shared" si="4"/>
        <v>0.0615</v>
      </c>
      <c r="BF43" s="44">
        <f>BE43+Podsumowanie!$E$6</f>
        <v>0.0735</v>
      </c>
      <c r="BG43" s="11">
        <f>BG$5+SUM(BH$5:BH42)+SUM(R$5:R42)-SUM(S$5:S42)</f>
        <v>400000</v>
      </c>
      <c r="BH43" s="10">
        <f aca="true" t="shared" si="78" ref="BH43:BH51">IF(BJ43&lt;0,BJ43-BI43,0)</f>
        <v>0</v>
      </c>
      <c r="BI43" s="10">
        <f aca="true" t="shared" si="79" ref="BI43:BI105">IF(BJ43&lt;0,-BG43*BF43/12,0)</f>
        <v>0</v>
      </c>
      <c r="BJ43" s="10">
        <f>IF(U43&lt;0,PMT(BF43/12,Podsumowanie!E$8-SUM(AB$5:AB43)+1,BG43),0)</f>
        <v>0</v>
      </c>
      <c r="BL43" s="11">
        <f>BL$5+SUM(BN$5:BN42)+SUM(R$5:R42)-SUM(S$5:S42)</f>
        <v>400000</v>
      </c>
      <c r="BM43" s="11">
        <f t="shared" si="5"/>
        <v>0</v>
      </c>
      <c r="BN43" s="11">
        <f t="shared" si="6"/>
        <v>0</v>
      </c>
      <c r="BO43" s="11">
        <f t="shared" si="7"/>
        <v>0</v>
      </c>
      <c r="BQ43" s="44">
        <f t="shared" si="8"/>
        <v>0.0736</v>
      </c>
      <c r="BR43" s="11">
        <f>BR$5+SUM(BS$5:BS42)+SUM(R$5:R42)-SUM(S$5:S42)+SUM(BV$5:BV42)</f>
        <v>400000</v>
      </c>
      <c r="BS43" s="10">
        <f t="shared" si="46"/>
        <v>0</v>
      </c>
      <c r="BT43" s="10">
        <f t="shared" si="47"/>
        <v>0</v>
      </c>
      <c r="BU43" s="10">
        <f>IF(U43&lt;0,PMT(BQ43/12,Podsumowanie!E$8-SUM(AB$5:AB43)+1,BR43),0)</f>
        <v>0</v>
      </c>
      <c r="BV43" s="10">
        <f t="shared" si="41"/>
        <v>0</v>
      </c>
      <c r="BX43" s="11">
        <f>BX$5+SUM(BZ$5:BZ42)+SUM(R$5:R42)-SUM(S$5:S42)+SUM(CB$5,CB42)</f>
        <v>400000</v>
      </c>
      <c r="BY43" s="10">
        <f t="shared" si="9"/>
        <v>0</v>
      </c>
      <c r="BZ43" s="10">
        <f t="shared" si="10"/>
        <v>0</v>
      </c>
      <c r="CA43" s="10">
        <f t="shared" si="48"/>
        <v>0</v>
      </c>
      <c r="CB43" s="10">
        <f t="shared" si="49"/>
        <v>0</v>
      </c>
      <c r="CD43" s="10">
        <f>CD$5+SUM(CE$5:CE42)+SUM(R$5:R42)-SUM(S$5:S42)-SUM(CF$5:CF42)</f>
        <v>400000</v>
      </c>
      <c r="CE43" s="10">
        <f t="shared" si="42"/>
        <v>0</v>
      </c>
      <c r="CF43" s="10">
        <f t="shared" si="43"/>
        <v>0</v>
      </c>
      <c r="CG43" s="10">
        <f t="shared" si="44"/>
        <v>0</v>
      </c>
      <c r="CI43" s="44">
        <v>0.8502</v>
      </c>
      <c r="CJ43" s="10">
        <f t="shared" si="45"/>
        <v>0</v>
      </c>
      <c r="CK43" s="4">
        <f t="shared" si="50"/>
        <v>0</v>
      </c>
      <c r="CM43" s="10">
        <f t="shared" si="51"/>
        <v>0</v>
      </c>
      <c r="CN43" s="4">
        <f t="shared" si="52"/>
        <v>0</v>
      </c>
    </row>
    <row r="44" spans="1:92" ht="15.75">
      <c r="A44" s="36"/>
      <c r="B44" s="37">
        <v>38443</v>
      </c>
      <c r="C44" s="77">
        <f t="shared" si="1"/>
        <v>2.6821</v>
      </c>
      <c r="D44" s="78">
        <f>C44*(1+Podsumowanie!E$11)</f>
        <v>2.762563</v>
      </c>
      <c r="E44" s="34">
        <f t="shared" si="53"/>
        <v>0</v>
      </c>
      <c r="F44" s="7">
        <f t="shared" si="54"/>
        <v>0</v>
      </c>
      <c r="G44" s="7">
        <f t="shared" si="55"/>
        <v>0</v>
      </c>
      <c r="H44" s="7">
        <f t="shared" si="56"/>
        <v>0</v>
      </c>
      <c r="I44" s="32"/>
      <c r="J44" s="4" t="str">
        <f t="shared" si="57"/>
        <v xml:space="preserve"> </v>
      </c>
      <c r="K44" s="4">
        <f>IF(B44&lt;Podsumowanie!E$7,0,K43+1)</f>
        <v>0</v>
      </c>
      <c r="L44" s="100">
        <f t="shared" si="2"/>
        <v>0.0077</v>
      </c>
      <c r="M44" s="38">
        <f>L44+Podsumowanie!E$6</f>
        <v>0.019700000000000002</v>
      </c>
      <c r="N44" s="101">
        <f>MAX(Podsumowanie!E$4+SUM(AA$5:AA43)-SUM(X$5:X44)+SUM(W$5:W44),0)</f>
        <v>181357.6981355522</v>
      </c>
      <c r="O44" s="102">
        <f>MAX(Podsumowanie!E$2+SUM(V$5:V43)-SUM(S$5:S44)+SUM(R$5:R44),0)</f>
        <v>400000</v>
      </c>
      <c r="P44" s="39">
        <f t="shared" si="58"/>
        <v>360</v>
      </c>
      <c r="Q44" s="40" t="str">
        <f>IF(AND(K44&gt;0,K44&lt;=Podsumowanie!E$9),"tak","nie")</f>
        <v>nie</v>
      </c>
      <c r="R44" s="41"/>
      <c r="S44" s="42"/>
      <c r="T44" s="88">
        <f t="shared" si="59"/>
        <v>0</v>
      </c>
      <c r="U44" s="89">
        <f>IF(Q44="tak",T44,IF(P44-SUM(AB$5:AB44)+1&gt;0,IF(Podsumowanie!E$7&lt;B44,IF(SUM(AB$5:AB44)-Podsumowanie!E$9+1&gt;0,PMT(M44/12,P44+1-SUM(AB$5:AB44),O44),T44),0),0))</f>
        <v>0</v>
      </c>
      <c r="V44" s="89">
        <f t="shared" si="60"/>
        <v>0</v>
      </c>
      <c r="W44" s="90" t="str">
        <f>IF(R44&gt;0,R44/(C44*(1-Podsumowanie!E$11))," ")</f>
        <v xml:space="preserve"> </v>
      </c>
      <c r="X44" s="90">
        <f t="shared" si="19"/>
        <v>0</v>
      </c>
      <c r="Y44" s="91">
        <f t="shared" si="3"/>
        <v>0</v>
      </c>
      <c r="Z44" s="90">
        <f>IF(P44-SUM(AB$5:AB44)+1&gt;0,IF(Podsumowanie!E$7&lt;B44,IF(SUM(AB$5:AB44)-Podsumowanie!E$9+1&gt;0,PMT(M44/12,P44+1-SUM(AB$5:AB44),N44),Y44),0),0)</f>
        <v>0</v>
      </c>
      <c r="AA44" s="90">
        <f t="shared" si="61"/>
        <v>0</v>
      </c>
      <c r="AB44" s="8" t="str">
        <f>IF(AND(Podsumowanie!E$7&lt;B44,SUM(AB$5:AB43)&lt;P43),1," ")</f>
        <v xml:space="preserve"> </v>
      </c>
      <c r="AD44" s="51">
        <f>IF(OR(B44&lt;Podsumowanie!E$12,Podsumowanie!E$12=""),-F44+S44,0)</f>
        <v>0</v>
      </c>
      <c r="AE44" s="51">
        <f t="shared" si="22"/>
        <v>0</v>
      </c>
      <c r="AG44" s="10">
        <f>Podsumowanie!E$4-SUM(AI$5:AI43)+SUM(W$42:W44)-SUM(X$42:X44)</f>
        <v>181357.6981355522</v>
      </c>
      <c r="AH44" s="10">
        <f t="shared" si="62"/>
        <v>0</v>
      </c>
      <c r="AI44" s="10">
        <f t="shared" si="63"/>
        <v>0</v>
      </c>
      <c r="AJ44" s="10">
        <f t="shared" si="64"/>
        <v>0</v>
      </c>
      <c r="AK44" s="10">
        <f t="shared" si="65"/>
        <v>0</v>
      </c>
      <c r="AL44" s="10">
        <f>Podsumowanie!E$2-SUM(AN$5:AN43)+SUM(R$42:R44)-SUM(S$42:S44)</f>
        <v>400000</v>
      </c>
      <c r="AM44" s="10">
        <f t="shared" si="66"/>
        <v>0</v>
      </c>
      <c r="AN44" s="10">
        <f t="shared" si="67"/>
        <v>0</v>
      </c>
      <c r="AO44" s="10">
        <f t="shared" si="68"/>
        <v>0</v>
      </c>
      <c r="AP44" s="10">
        <f t="shared" si="69"/>
        <v>0</v>
      </c>
      <c r="AR44" s="43">
        <f t="shared" si="70"/>
        <v>38443</v>
      </c>
      <c r="AS44" s="11">
        <f>AS$5+SUM(AV$5:AV43)-SUM(X$5:X44)+SUM(W$5:W44)</f>
        <v>175916.96719148563</v>
      </c>
      <c r="AT44" s="10">
        <f t="shared" si="71"/>
        <v>0</v>
      </c>
      <c r="AU44" s="10">
        <f>IF(AB44=1,IF(Q44="tak",AT44,PMT(M44/12,P44+1-SUM(AB$5:AB44),AS44)),0)</f>
        <v>0</v>
      </c>
      <c r="AV44" s="10">
        <f t="shared" si="72"/>
        <v>0</v>
      </c>
      <c r="AW44" s="10">
        <f t="shared" si="73"/>
        <v>0</v>
      </c>
      <c r="AY44" s="11">
        <f>AY$5+SUM(BA$5:BA43)+SUM(W$5:W43)-SUM(X$5:X43)</f>
        <v>175916.96719148563</v>
      </c>
      <c r="AZ44" s="11">
        <f t="shared" si="74"/>
        <v>0</v>
      </c>
      <c r="BA44" s="11">
        <f t="shared" si="75"/>
        <v>0</v>
      </c>
      <c r="BB44" s="11">
        <f t="shared" si="76"/>
        <v>0</v>
      </c>
      <c r="BC44" s="11">
        <f t="shared" si="77"/>
        <v>0</v>
      </c>
      <c r="BE44" s="172">
        <f t="shared" si="4"/>
        <v>0.0578</v>
      </c>
      <c r="BF44" s="44">
        <f>BE44+Podsumowanie!$E$6</f>
        <v>0.0698</v>
      </c>
      <c r="BG44" s="11">
        <f>BG$5+SUM(BH$5:BH43)+SUM(R$5:R43)-SUM(S$5:S43)</f>
        <v>400000</v>
      </c>
      <c r="BH44" s="10">
        <f t="shared" si="78"/>
        <v>0</v>
      </c>
      <c r="BI44" s="10">
        <f t="shared" si="79"/>
        <v>0</v>
      </c>
      <c r="BJ44" s="10">
        <f>IF(U44&lt;0,PMT(BF44/12,Podsumowanie!E$8-SUM(AB$5:AB44)+1,BG44),0)</f>
        <v>0</v>
      </c>
      <c r="BL44" s="11">
        <f>BL$5+SUM(BN$5:BN43)+SUM(R$5:R43)-SUM(S$5:S43)</f>
        <v>400000</v>
      </c>
      <c r="BM44" s="11">
        <f t="shared" si="5"/>
        <v>0</v>
      </c>
      <c r="BN44" s="11">
        <f t="shared" si="6"/>
        <v>0</v>
      </c>
      <c r="BO44" s="11">
        <f t="shared" si="7"/>
        <v>0</v>
      </c>
      <c r="BQ44" s="44">
        <f t="shared" si="8"/>
        <v>0.06989999999999999</v>
      </c>
      <c r="BR44" s="11">
        <f>BR$5+SUM(BS$5:BS43)+SUM(R$5:R43)-SUM(S$5:S43)+SUM(BV$5:BV43)</f>
        <v>400000</v>
      </c>
      <c r="BS44" s="10">
        <f t="shared" si="46"/>
        <v>0</v>
      </c>
      <c r="BT44" s="10">
        <f t="shared" si="47"/>
        <v>0</v>
      </c>
      <c r="BU44" s="10">
        <f>IF(U44&lt;0,PMT(BQ44/12,Podsumowanie!E$8-SUM(AB$5:AB44)+1,BR44),0)</f>
        <v>0</v>
      </c>
      <c r="BV44" s="10">
        <f t="shared" si="41"/>
        <v>0</v>
      </c>
      <c r="BX44" s="11">
        <f>BX$5+SUM(BZ$5:BZ43)+SUM(R$5:R43)-SUM(S$5:S43)+SUM(CB$5,CB43)</f>
        <v>400000</v>
      </c>
      <c r="BY44" s="10">
        <f t="shared" si="9"/>
        <v>0</v>
      </c>
      <c r="BZ44" s="10">
        <f t="shared" si="10"/>
        <v>0</v>
      </c>
      <c r="CA44" s="10">
        <f t="shared" si="48"/>
        <v>0</v>
      </c>
      <c r="CB44" s="10">
        <f t="shared" si="49"/>
        <v>0</v>
      </c>
      <c r="CD44" s="10">
        <f>CD$5+SUM(CE$5:CE43)+SUM(R$5:R43)-SUM(S$5:S43)-SUM(CF$5:CF43)</f>
        <v>400000</v>
      </c>
      <c r="CE44" s="10">
        <f t="shared" si="42"/>
        <v>0</v>
      </c>
      <c r="CF44" s="10">
        <f t="shared" si="43"/>
        <v>0</v>
      </c>
      <c r="CG44" s="10">
        <f t="shared" si="44"/>
        <v>0</v>
      </c>
      <c r="CI44" s="44">
        <v>0.8484</v>
      </c>
      <c r="CJ44" s="10">
        <f t="shared" si="45"/>
        <v>0</v>
      </c>
      <c r="CK44" s="4">
        <f t="shared" si="50"/>
        <v>0</v>
      </c>
      <c r="CM44" s="10">
        <f t="shared" si="51"/>
        <v>0</v>
      </c>
      <c r="CN44" s="4">
        <f t="shared" si="52"/>
        <v>0</v>
      </c>
    </row>
    <row r="45" spans="1:92" ht="15.75">
      <c r="A45" s="36"/>
      <c r="B45" s="37">
        <v>38473</v>
      </c>
      <c r="C45" s="77">
        <f t="shared" si="1"/>
        <v>2.7075</v>
      </c>
      <c r="D45" s="78">
        <f>C45*(1+Podsumowanie!E$11)</f>
        <v>2.788725</v>
      </c>
      <c r="E45" s="34">
        <f t="shared" si="53"/>
        <v>0</v>
      </c>
      <c r="F45" s="7">
        <f t="shared" si="54"/>
        <v>0</v>
      </c>
      <c r="G45" s="7">
        <f t="shared" si="55"/>
        <v>0</v>
      </c>
      <c r="H45" s="7">
        <f t="shared" si="56"/>
        <v>0</v>
      </c>
      <c r="I45" s="32"/>
      <c r="J45" s="4" t="str">
        <f t="shared" si="57"/>
        <v xml:space="preserve"> </v>
      </c>
      <c r="K45" s="4">
        <f>IF(B45&lt;Podsumowanie!E$7,0,K44+1)</f>
        <v>0</v>
      </c>
      <c r="L45" s="100">
        <f t="shared" si="2"/>
        <v>0.0076</v>
      </c>
      <c r="M45" s="38">
        <f>L45+Podsumowanie!E$6</f>
        <v>0.0196</v>
      </c>
      <c r="N45" s="101">
        <f>MAX(Podsumowanie!E$4+SUM(AA$5:AA44)-SUM(X$5:X45)+SUM(W$5:W45),0)</f>
        <v>181357.6981355522</v>
      </c>
      <c r="O45" s="102">
        <f>MAX(Podsumowanie!E$2+SUM(V$5:V44)-SUM(S$5:S45)+SUM(R$5:R45),0)</f>
        <v>400000</v>
      </c>
      <c r="P45" s="39">
        <f t="shared" si="58"/>
        <v>360</v>
      </c>
      <c r="Q45" s="40" t="str">
        <f>IF(AND(K45&gt;0,K45&lt;=Podsumowanie!E$9),"tak","nie")</f>
        <v>nie</v>
      </c>
      <c r="R45" s="41"/>
      <c r="S45" s="42"/>
      <c r="T45" s="88">
        <f t="shared" si="59"/>
        <v>0</v>
      </c>
      <c r="U45" s="89">
        <f>IF(Q45="tak",T45,IF(P45-SUM(AB$5:AB45)+1&gt;0,IF(Podsumowanie!E$7&lt;B45,IF(SUM(AB$5:AB45)-Podsumowanie!E$9+1&gt;0,PMT(M45/12,P45+1-SUM(AB$5:AB45),O45),T45),0),0))</f>
        <v>0</v>
      </c>
      <c r="V45" s="89">
        <f t="shared" si="60"/>
        <v>0</v>
      </c>
      <c r="W45" s="90" t="str">
        <f>IF(R45&gt;0,R45/(C45*(1-Podsumowanie!E$11))," ")</f>
        <v xml:space="preserve"> </v>
      </c>
      <c r="X45" s="90">
        <f t="shared" si="19"/>
        <v>0</v>
      </c>
      <c r="Y45" s="91">
        <f t="shared" si="3"/>
        <v>0</v>
      </c>
      <c r="Z45" s="90">
        <f>IF(P45-SUM(AB$5:AB45)+1&gt;0,IF(Podsumowanie!E$7&lt;B45,IF(SUM(AB$5:AB45)-Podsumowanie!E$9+1&gt;0,PMT(M45/12,P45+1-SUM(AB$5:AB45),N45),Y45),0),0)</f>
        <v>0</v>
      </c>
      <c r="AA45" s="90">
        <f t="shared" si="61"/>
        <v>0</v>
      </c>
      <c r="AB45" s="8" t="str">
        <f>IF(AND(Podsumowanie!E$7&lt;B45,SUM(AB$5:AB44)&lt;P44),1," ")</f>
        <v xml:space="preserve"> </v>
      </c>
      <c r="AD45" s="51">
        <f>IF(OR(B45&lt;Podsumowanie!E$12,Podsumowanie!E$12=""),-F45+S45,0)</f>
        <v>0</v>
      </c>
      <c r="AE45" s="51">
        <f t="shared" si="22"/>
        <v>0</v>
      </c>
      <c r="AG45" s="10">
        <f>Podsumowanie!E$4-SUM(AI$5:AI44)+SUM(W$42:W45)-SUM(X$42:X45)</f>
        <v>181357.6981355522</v>
      </c>
      <c r="AH45" s="10">
        <f t="shared" si="62"/>
        <v>0</v>
      </c>
      <c r="AI45" s="10">
        <f t="shared" si="63"/>
        <v>0</v>
      </c>
      <c r="AJ45" s="10">
        <f t="shared" si="64"/>
        <v>0</v>
      </c>
      <c r="AK45" s="10">
        <f t="shared" si="65"/>
        <v>0</v>
      </c>
      <c r="AL45" s="10">
        <f>Podsumowanie!E$2-SUM(AN$5:AN44)+SUM(R$42:R45)-SUM(S$42:S45)</f>
        <v>400000</v>
      </c>
      <c r="AM45" s="10">
        <f t="shared" si="66"/>
        <v>0</v>
      </c>
      <c r="AN45" s="10">
        <f t="shared" si="67"/>
        <v>0</v>
      </c>
      <c r="AO45" s="10">
        <f t="shared" si="68"/>
        <v>0</v>
      </c>
      <c r="AP45" s="10">
        <f t="shared" si="69"/>
        <v>0</v>
      </c>
      <c r="AR45" s="43">
        <f t="shared" si="70"/>
        <v>38473</v>
      </c>
      <c r="AS45" s="11">
        <f>AS$5+SUM(AV$5:AV44)-SUM(X$5:X45)+SUM(W$5:W45)</f>
        <v>175916.96719148563</v>
      </c>
      <c r="AT45" s="10">
        <f t="shared" si="71"/>
        <v>0</v>
      </c>
      <c r="AU45" s="10">
        <f>IF(AB45=1,IF(Q45="tak",AT45,PMT(M45/12,P45+1-SUM(AB$5:AB45),AS45)),0)</f>
        <v>0</v>
      </c>
      <c r="AV45" s="10">
        <f t="shared" si="72"/>
        <v>0</v>
      </c>
      <c r="AW45" s="10">
        <f t="shared" si="73"/>
        <v>0</v>
      </c>
      <c r="AY45" s="11">
        <f>AY$5+SUM(BA$5:BA44)+SUM(W$5:W44)-SUM(X$5:X44)</f>
        <v>175916.96719148563</v>
      </c>
      <c r="AZ45" s="11">
        <f t="shared" si="74"/>
        <v>0</v>
      </c>
      <c r="BA45" s="11">
        <f t="shared" si="75"/>
        <v>0</v>
      </c>
      <c r="BB45" s="11">
        <f t="shared" si="76"/>
        <v>0</v>
      </c>
      <c r="BC45" s="11">
        <f t="shared" si="77"/>
        <v>0</v>
      </c>
      <c r="BE45" s="172">
        <f t="shared" si="4"/>
        <v>0.0548</v>
      </c>
      <c r="BF45" s="44">
        <f>BE45+Podsumowanie!$E$6</f>
        <v>0.0668</v>
      </c>
      <c r="BG45" s="11">
        <f>BG$5+SUM(BH$5:BH44)+SUM(R$5:R44)-SUM(S$5:S44)</f>
        <v>400000</v>
      </c>
      <c r="BH45" s="10">
        <f t="shared" si="78"/>
        <v>0</v>
      </c>
      <c r="BI45" s="10">
        <f t="shared" si="79"/>
        <v>0</v>
      </c>
      <c r="BJ45" s="10">
        <f>IF(U45&lt;0,PMT(BF45/12,Podsumowanie!E$8-SUM(AB$5:AB45)+1,BG45),0)</f>
        <v>0</v>
      </c>
      <c r="BL45" s="11">
        <f>BL$5+SUM(BN$5:BN44)+SUM(R$5:R44)-SUM(S$5:S44)</f>
        <v>400000</v>
      </c>
      <c r="BM45" s="11">
        <f t="shared" si="5"/>
        <v>0</v>
      </c>
      <c r="BN45" s="11">
        <f t="shared" si="6"/>
        <v>0</v>
      </c>
      <c r="BO45" s="11">
        <f t="shared" si="7"/>
        <v>0</v>
      </c>
      <c r="BQ45" s="44">
        <f t="shared" si="8"/>
        <v>0.0669</v>
      </c>
      <c r="BR45" s="11">
        <f>BR$5+SUM(BS$5:BS44)+SUM(R$5:R44)-SUM(S$5:S44)+SUM(BV$5:BV44)</f>
        <v>400000</v>
      </c>
      <c r="BS45" s="10">
        <f t="shared" si="46"/>
        <v>0</v>
      </c>
      <c r="BT45" s="10">
        <f t="shared" si="47"/>
        <v>0</v>
      </c>
      <c r="BU45" s="10">
        <f>IF(U45&lt;0,PMT(BQ45/12,Podsumowanie!E$8-SUM(AB$5:AB45)+1,BR45),0)</f>
        <v>0</v>
      </c>
      <c r="BV45" s="10">
        <f t="shared" si="41"/>
        <v>0</v>
      </c>
      <c r="BX45" s="11">
        <f>BX$5+SUM(BZ$5:BZ44)+SUM(R$5:R44)-SUM(S$5:S44)+SUM(CB$5,CB44)</f>
        <v>400000</v>
      </c>
      <c r="BY45" s="10">
        <f t="shared" si="9"/>
        <v>0</v>
      </c>
      <c r="BZ45" s="10">
        <f t="shared" si="10"/>
        <v>0</v>
      </c>
      <c r="CA45" s="10">
        <f t="shared" si="48"/>
        <v>0</v>
      </c>
      <c r="CB45" s="10">
        <f t="shared" si="49"/>
        <v>0</v>
      </c>
      <c r="CD45" s="10">
        <f>CD$5+SUM(CE$5:CE44)+SUM(R$5:R44)-SUM(S$5:S44)-SUM(CF$5:CF44)</f>
        <v>400000</v>
      </c>
      <c r="CE45" s="10">
        <f t="shared" si="42"/>
        <v>0</v>
      </c>
      <c r="CF45" s="10">
        <f t="shared" si="43"/>
        <v>0</v>
      </c>
      <c r="CG45" s="10">
        <f t="shared" si="44"/>
        <v>0</v>
      </c>
      <c r="CI45" s="44">
        <v>0.841</v>
      </c>
      <c r="CJ45" s="10">
        <f t="shared" si="45"/>
        <v>0</v>
      </c>
      <c r="CK45" s="4">
        <f t="shared" si="50"/>
        <v>0</v>
      </c>
      <c r="CM45" s="10">
        <f t="shared" si="51"/>
        <v>0</v>
      </c>
      <c r="CN45" s="4">
        <f t="shared" si="52"/>
        <v>0</v>
      </c>
    </row>
    <row r="46" spans="1:92" ht="15.75">
      <c r="A46" s="36"/>
      <c r="B46" s="37">
        <v>38504</v>
      </c>
      <c r="C46" s="77">
        <f t="shared" si="1"/>
        <v>2.6396</v>
      </c>
      <c r="D46" s="78">
        <f>C46*(1+Podsumowanie!E$11)</f>
        <v>2.7187880000000004</v>
      </c>
      <c r="E46" s="34">
        <f t="shared" si="53"/>
        <v>0</v>
      </c>
      <c r="F46" s="7">
        <f t="shared" si="54"/>
        <v>0</v>
      </c>
      <c r="G46" s="7">
        <f t="shared" si="55"/>
        <v>0</v>
      </c>
      <c r="H46" s="7">
        <f t="shared" si="56"/>
        <v>0</v>
      </c>
      <c r="I46" s="32"/>
      <c r="J46" s="4" t="str">
        <f t="shared" si="57"/>
        <v xml:space="preserve"> </v>
      </c>
      <c r="K46" s="4">
        <f>IF(B46&lt;Podsumowanie!E$7,0,K45+1)</f>
        <v>0</v>
      </c>
      <c r="L46" s="100">
        <f t="shared" si="2"/>
        <v>0.0075</v>
      </c>
      <c r="M46" s="38">
        <f>L46+Podsumowanie!E$6</f>
        <v>0.0195</v>
      </c>
      <c r="N46" s="101">
        <f>MAX(Podsumowanie!E$4+SUM(AA$5:AA45)-SUM(X$5:X46)+SUM(W$5:W46),0)</f>
        <v>181357.6981355522</v>
      </c>
      <c r="O46" s="102">
        <f>MAX(Podsumowanie!E$2+SUM(V$5:V45)-SUM(S$5:S46)+SUM(R$5:R46),0)</f>
        <v>400000</v>
      </c>
      <c r="P46" s="39">
        <f t="shared" si="58"/>
        <v>360</v>
      </c>
      <c r="Q46" s="40" t="str">
        <f>IF(AND(K46&gt;0,K46&lt;=Podsumowanie!E$9),"tak","nie")</f>
        <v>nie</v>
      </c>
      <c r="R46" s="41"/>
      <c r="S46" s="42"/>
      <c r="T46" s="88">
        <f t="shared" si="59"/>
        <v>0</v>
      </c>
      <c r="U46" s="89">
        <f>IF(Q46="tak",T46,IF(P46-SUM(AB$5:AB46)+1&gt;0,IF(Podsumowanie!E$7&lt;B46,IF(SUM(AB$5:AB46)-Podsumowanie!E$9+1&gt;0,PMT(M46/12,P46+1-SUM(AB$5:AB46),O46),T46),0),0))</f>
        <v>0</v>
      </c>
      <c r="V46" s="89">
        <f t="shared" si="60"/>
        <v>0</v>
      </c>
      <c r="W46" s="90" t="str">
        <f>IF(R46&gt;0,R46/(C46*(1-Podsumowanie!E$11))," ")</f>
        <v xml:space="preserve"> </v>
      </c>
      <c r="X46" s="90">
        <f t="shared" si="19"/>
        <v>0</v>
      </c>
      <c r="Y46" s="91">
        <f t="shared" si="3"/>
        <v>0</v>
      </c>
      <c r="Z46" s="90">
        <f>IF(P46-SUM(AB$5:AB46)+1&gt;0,IF(Podsumowanie!E$7&lt;B46,IF(SUM(AB$5:AB46)-Podsumowanie!E$9+1&gt;0,PMT(M46/12,P46+1-SUM(AB$5:AB46),N46),Y46),0),0)</f>
        <v>0</v>
      </c>
      <c r="AA46" s="90">
        <f t="shared" si="61"/>
        <v>0</v>
      </c>
      <c r="AB46" s="8" t="str">
        <f>IF(AND(Podsumowanie!E$7&lt;B46,SUM(AB$5:AB45)&lt;P45),1," ")</f>
        <v xml:space="preserve"> </v>
      </c>
      <c r="AD46" s="51">
        <f>IF(OR(B46&lt;Podsumowanie!E$12,Podsumowanie!E$12=""),-F46+S46,0)</f>
        <v>0</v>
      </c>
      <c r="AE46" s="51">
        <f t="shared" si="22"/>
        <v>0</v>
      </c>
      <c r="AG46" s="10">
        <f>Podsumowanie!E$4-SUM(AI$5:AI45)+SUM(W$42:W46)-SUM(X$42:X46)</f>
        <v>181357.6981355522</v>
      </c>
      <c r="AH46" s="10">
        <f t="shared" si="62"/>
        <v>0</v>
      </c>
      <c r="AI46" s="10">
        <f t="shared" si="63"/>
        <v>0</v>
      </c>
      <c r="AJ46" s="10">
        <f t="shared" si="64"/>
        <v>0</v>
      </c>
      <c r="AK46" s="10">
        <f t="shared" si="65"/>
        <v>0</v>
      </c>
      <c r="AL46" s="10">
        <f>Podsumowanie!E$2-SUM(AN$5:AN45)+SUM(R$42:R46)-SUM(S$42:S46)</f>
        <v>400000</v>
      </c>
      <c r="AM46" s="10">
        <f t="shared" si="66"/>
        <v>0</v>
      </c>
      <c r="AN46" s="10">
        <f t="shared" si="67"/>
        <v>0</v>
      </c>
      <c r="AO46" s="10">
        <f t="shared" si="68"/>
        <v>0</v>
      </c>
      <c r="AP46" s="10">
        <f t="shared" si="69"/>
        <v>0</v>
      </c>
      <c r="AR46" s="43">
        <f t="shared" si="70"/>
        <v>38504</v>
      </c>
      <c r="AS46" s="11">
        <f>AS$5+SUM(AV$5:AV45)-SUM(X$5:X46)+SUM(W$5:W46)</f>
        <v>175916.96719148563</v>
      </c>
      <c r="AT46" s="10">
        <f t="shared" si="71"/>
        <v>0</v>
      </c>
      <c r="AU46" s="10">
        <f>IF(AB46=1,IF(Q46="tak",AT46,PMT(M46/12,P46+1-SUM(AB$5:AB46),AS46)),0)</f>
        <v>0</v>
      </c>
      <c r="AV46" s="10">
        <f t="shared" si="72"/>
        <v>0</v>
      </c>
      <c r="AW46" s="10">
        <f t="shared" si="73"/>
        <v>0</v>
      </c>
      <c r="AY46" s="11">
        <f>AY$5+SUM(BA$5:BA45)+SUM(W$5:W45)-SUM(X$5:X45)</f>
        <v>175916.96719148563</v>
      </c>
      <c r="AZ46" s="11">
        <f t="shared" si="74"/>
        <v>0</v>
      </c>
      <c r="BA46" s="11">
        <f t="shared" si="75"/>
        <v>0</v>
      </c>
      <c r="BB46" s="11">
        <f t="shared" si="76"/>
        <v>0</v>
      </c>
      <c r="BC46" s="11">
        <f t="shared" si="77"/>
        <v>0</v>
      </c>
      <c r="BE46" s="172">
        <f t="shared" si="4"/>
        <v>0.0522</v>
      </c>
      <c r="BF46" s="44">
        <f>BE46+Podsumowanie!$E$6</f>
        <v>0.06420000000000001</v>
      </c>
      <c r="BG46" s="11">
        <f>BG$5+SUM(BH$5:BH45)+SUM(R$5:R45)-SUM(S$5:S45)</f>
        <v>400000</v>
      </c>
      <c r="BH46" s="10">
        <f t="shared" si="78"/>
        <v>0</v>
      </c>
      <c r="BI46" s="10">
        <f t="shared" si="79"/>
        <v>0</v>
      </c>
      <c r="BJ46" s="10">
        <f>IF(U46&lt;0,PMT(BF46/12,Podsumowanie!E$8-SUM(AB$5:AB46)+1,BG46),0)</f>
        <v>0</v>
      </c>
      <c r="BL46" s="11">
        <f>BL$5+SUM(BN$5:BN45)+SUM(R$5:R45)-SUM(S$5:S45)</f>
        <v>400000</v>
      </c>
      <c r="BM46" s="11">
        <f t="shared" si="5"/>
        <v>0</v>
      </c>
      <c r="BN46" s="11">
        <f t="shared" si="6"/>
        <v>0</v>
      </c>
      <c r="BO46" s="11">
        <f t="shared" si="7"/>
        <v>0</v>
      </c>
      <c r="BQ46" s="44">
        <f t="shared" si="8"/>
        <v>0.0643</v>
      </c>
      <c r="BR46" s="11">
        <f>BR$5+SUM(BS$5:BS45)+SUM(R$5:R45)-SUM(S$5:S45)+SUM(BV$5:BV45)</f>
        <v>400000</v>
      </c>
      <c r="BS46" s="10">
        <f t="shared" si="46"/>
        <v>0</v>
      </c>
      <c r="BT46" s="10">
        <f t="shared" si="47"/>
        <v>0</v>
      </c>
      <c r="BU46" s="10">
        <f>IF(U46&lt;0,PMT(BQ46/12,Podsumowanie!E$8-SUM(AB$5:AB46)+1,BR46),0)</f>
        <v>0</v>
      </c>
      <c r="BV46" s="10">
        <f t="shared" si="41"/>
        <v>0</v>
      </c>
      <c r="BX46" s="11">
        <f>BX$5+SUM(BZ$5:BZ45)+SUM(R$5:R45)-SUM(S$5:S45)+SUM(CB$5,CB45)</f>
        <v>400000</v>
      </c>
      <c r="BY46" s="10">
        <f t="shared" si="9"/>
        <v>0</v>
      </c>
      <c r="BZ46" s="10">
        <f t="shared" si="10"/>
        <v>0</v>
      </c>
      <c r="CA46" s="10">
        <f t="shared" si="48"/>
        <v>0</v>
      </c>
      <c r="CB46" s="10">
        <f t="shared" si="49"/>
        <v>0</v>
      </c>
      <c r="CD46" s="10">
        <f>CD$5+SUM(CE$5:CE45)+SUM(R$5:R45)-SUM(S$5:S45)-SUM(CF$5:CF45)</f>
        <v>400000</v>
      </c>
      <c r="CE46" s="10">
        <f t="shared" si="42"/>
        <v>0</v>
      </c>
      <c r="CF46" s="10">
        <f t="shared" si="43"/>
        <v>0</v>
      </c>
      <c r="CG46" s="10">
        <f t="shared" si="44"/>
        <v>0</v>
      </c>
      <c r="CI46" s="44">
        <v>0.8355</v>
      </c>
      <c r="CJ46" s="10">
        <f t="shared" si="45"/>
        <v>0</v>
      </c>
      <c r="CK46" s="4">
        <f t="shared" si="50"/>
        <v>0</v>
      </c>
      <c r="CM46" s="10">
        <f t="shared" si="51"/>
        <v>0</v>
      </c>
      <c r="CN46" s="4">
        <f t="shared" si="52"/>
        <v>0</v>
      </c>
    </row>
    <row r="47" spans="1:92" ht="15.75">
      <c r="A47" s="36"/>
      <c r="B47" s="37">
        <v>38534</v>
      </c>
      <c r="C47" s="77">
        <f t="shared" si="1"/>
        <v>2.6297</v>
      </c>
      <c r="D47" s="78">
        <f>C47*(1+Podsumowanie!E$11)</f>
        <v>2.708591</v>
      </c>
      <c r="E47" s="34">
        <f t="shared" si="53"/>
        <v>0</v>
      </c>
      <c r="F47" s="7">
        <f t="shared" si="54"/>
        <v>0</v>
      </c>
      <c r="G47" s="7">
        <f t="shared" si="55"/>
        <v>0</v>
      </c>
      <c r="H47" s="7">
        <f t="shared" si="56"/>
        <v>0</v>
      </c>
      <c r="I47" s="32"/>
      <c r="J47" s="4" t="str">
        <f t="shared" si="57"/>
        <v xml:space="preserve"> </v>
      </c>
      <c r="K47" s="4">
        <f>IF(B47&lt;Podsumowanie!E$7,0,K46+1)</f>
        <v>0</v>
      </c>
      <c r="L47" s="100">
        <f t="shared" si="2"/>
        <v>0.007467</v>
      </c>
      <c r="M47" s="38">
        <f>L47+Podsumowanie!E$6</f>
        <v>0.019466999999999998</v>
      </c>
      <c r="N47" s="101">
        <f>MAX(Podsumowanie!E$4+SUM(AA$5:AA46)-SUM(X$5:X47)+SUM(W$5:W47),0)</f>
        <v>181357.6981355522</v>
      </c>
      <c r="O47" s="102">
        <f>MAX(Podsumowanie!E$2+SUM(V$5:V46)-SUM(S$5:S47)+SUM(R$5:R47),0)</f>
        <v>400000</v>
      </c>
      <c r="P47" s="39">
        <f t="shared" si="58"/>
        <v>360</v>
      </c>
      <c r="Q47" s="40" t="str">
        <f>IF(AND(K47&gt;0,K47&lt;=Podsumowanie!E$9),"tak","nie")</f>
        <v>nie</v>
      </c>
      <c r="R47" s="41"/>
      <c r="S47" s="42"/>
      <c r="T47" s="88">
        <f t="shared" si="59"/>
        <v>0</v>
      </c>
      <c r="U47" s="89">
        <f>IF(Q47="tak",T47,IF(P47-SUM(AB$5:AB47)+1&gt;0,IF(Podsumowanie!E$7&lt;B47,IF(SUM(AB$5:AB47)-Podsumowanie!E$9+1&gt;0,PMT(M47/12,P47+1-SUM(AB$5:AB47),O47),T47),0),0))</f>
        <v>0</v>
      </c>
      <c r="V47" s="89">
        <f t="shared" si="60"/>
        <v>0</v>
      </c>
      <c r="W47" s="90" t="str">
        <f>IF(R47&gt;0,R47/(C47*(1-Podsumowanie!E$11))," ")</f>
        <v xml:space="preserve"> </v>
      </c>
      <c r="X47" s="90">
        <f t="shared" si="19"/>
        <v>0</v>
      </c>
      <c r="Y47" s="91">
        <f t="shared" si="3"/>
        <v>0</v>
      </c>
      <c r="Z47" s="90">
        <f>IF(P47-SUM(AB$5:AB47)+1&gt;0,IF(Podsumowanie!E$7&lt;B47,IF(SUM(AB$5:AB47)-Podsumowanie!E$9+1&gt;0,PMT(M47/12,P47+1-SUM(AB$5:AB47),N47),Y47),0),0)</f>
        <v>0</v>
      </c>
      <c r="AA47" s="90">
        <f t="shared" si="61"/>
        <v>0</v>
      </c>
      <c r="AB47" s="8" t="str">
        <f>IF(AND(Podsumowanie!E$7&lt;B47,SUM(AB$5:AB46)&lt;P46),1," ")</f>
        <v xml:space="preserve"> </v>
      </c>
      <c r="AD47" s="51">
        <f>IF(OR(B47&lt;Podsumowanie!E$12,Podsumowanie!E$12=""),-F47+S47,0)</f>
        <v>0</v>
      </c>
      <c r="AE47" s="51">
        <f t="shared" si="22"/>
        <v>0</v>
      </c>
      <c r="AG47" s="10">
        <f>Podsumowanie!E$4-SUM(AI$5:AI46)+SUM(W$42:W47)-SUM(X$42:X47)</f>
        <v>181357.6981355522</v>
      </c>
      <c r="AH47" s="10">
        <f t="shared" si="62"/>
        <v>0</v>
      </c>
      <c r="AI47" s="10">
        <f t="shared" si="63"/>
        <v>0</v>
      </c>
      <c r="AJ47" s="10">
        <f t="shared" si="64"/>
        <v>0</v>
      </c>
      <c r="AK47" s="10">
        <f t="shared" si="65"/>
        <v>0</v>
      </c>
      <c r="AL47" s="10">
        <f>Podsumowanie!E$2-SUM(AN$5:AN46)+SUM(R$42:R47)-SUM(S$42:S47)</f>
        <v>400000</v>
      </c>
      <c r="AM47" s="10">
        <f t="shared" si="66"/>
        <v>0</v>
      </c>
      <c r="AN47" s="10">
        <f t="shared" si="67"/>
        <v>0</v>
      </c>
      <c r="AO47" s="10">
        <f t="shared" si="68"/>
        <v>0</v>
      </c>
      <c r="AP47" s="10">
        <f t="shared" si="69"/>
        <v>0</v>
      </c>
      <c r="AR47" s="43">
        <f t="shared" si="70"/>
        <v>38534</v>
      </c>
      <c r="AS47" s="11">
        <f>AS$5+SUM(AV$5:AV46)-SUM(X$5:X47)+SUM(W$5:W47)</f>
        <v>175916.96719148563</v>
      </c>
      <c r="AT47" s="10">
        <f t="shared" si="71"/>
        <v>0</v>
      </c>
      <c r="AU47" s="10">
        <f>IF(AB47=1,IF(Q47="tak",AT47,PMT(M47/12,P47+1-SUM(AB$5:AB47),AS47)),0)</f>
        <v>0</v>
      </c>
      <c r="AV47" s="10">
        <f t="shared" si="72"/>
        <v>0</v>
      </c>
      <c r="AW47" s="10">
        <f t="shared" si="73"/>
        <v>0</v>
      </c>
      <c r="AY47" s="11">
        <f>AY$5+SUM(BA$5:BA46)+SUM(W$5:W46)-SUM(X$5:X46)</f>
        <v>175916.96719148563</v>
      </c>
      <c r="AZ47" s="11">
        <f t="shared" si="74"/>
        <v>0</v>
      </c>
      <c r="BA47" s="11">
        <f t="shared" si="75"/>
        <v>0</v>
      </c>
      <c r="BB47" s="11">
        <f t="shared" si="76"/>
        <v>0</v>
      </c>
      <c r="BC47" s="11">
        <f t="shared" si="77"/>
        <v>0</v>
      </c>
      <c r="BE47" s="172">
        <f t="shared" si="4"/>
        <v>0.0468</v>
      </c>
      <c r="BF47" s="44">
        <f>BE47+Podsumowanie!$E$6</f>
        <v>0.058800000000000005</v>
      </c>
      <c r="BG47" s="11">
        <f>BG$5+SUM(BH$5:BH46)+SUM(R$5:R46)-SUM(S$5:S46)</f>
        <v>400000</v>
      </c>
      <c r="BH47" s="10">
        <f t="shared" si="78"/>
        <v>0</v>
      </c>
      <c r="BI47" s="10">
        <f t="shared" si="79"/>
        <v>0</v>
      </c>
      <c r="BJ47" s="10">
        <f>IF(U47&lt;0,PMT(BF47/12,Podsumowanie!E$8-SUM(AB$5:AB47)+1,BG47),0)</f>
        <v>0</v>
      </c>
      <c r="BL47" s="11">
        <f>BL$5+SUM(BN$5:BN46)+SUM(R$5:R46)-SUM(S$5:S46)</f>
        <v>400000</v>
      </c>
      <c r="BM47" s="11">
        <f t="shared" si="5"/>
        <v>0</v>
      </c>
      <c r="BN47" s="11">
        <f t="shared" si="6"/>
        <v>0</v>
      </c>
      <c r="BO47" s="11">
        <f t="shared" si="7"/>
        <v>0</v>
      </c>
      <c r="BQ47" s="44">
        <f t="shared" si="8"/>
        <v>0.0589</v>
      </c>
      <c r="BR47" s="11">
        <f>BR$5+SUM(BS$5:BS46)+SUM(R$5:R46)-SUM(S$5:S46)+SUM(BV$5:BV46)</f>
        <v>400000</v>
      </c>
      <c r="BS47" s="10">
        <f t="shared" si="46"/>
        <v>0</v>
      </c>
      <c r="BT47" s="10">
        <f t="shared" si="47"/>
        <v>0</v>
      </c>
      <c r="BU47" s="10">
        <f>IF(U47&lt;0,PMT(BQ47/12,Podsumowanie!E$8-SUM(AB$5:AB47)+1,BR47),0)</f>
        <v>0</v>
      </c>
      <c r="BV47" s="10">
        <f t="shared" si="41"/>
        <v>0</v>
      </c>
      <c r="BX47" s="11">
        <f>BX$5+SUM(BZ$5:BZ46)+SUM(R$5:R46)-SUM(S$5:S46)+SUM(CB$5,CB46)</f>
        <v>400000</v>
      </c>
      <c r="BY47" s="10">
        <f t="shared" si="9"/>
        <v>0</v>
      </c>
      <c r="BZ47" s="10">
        <f t="shared" si="10"/>
        <v>0</v>
      </c>
      <c r="CA47" s="10">
        <f t="shared" si="48"/>
        <v>0</v>
      </c>
      <c r="CB47" s="10">
        <f t="shared" si="49"/>
        <v>0</v>
      </c>
      <c r="CD47" s="10">
        <f>CD$5+SUM(CE$5:CE46)+SUM(R$5:R46)-SUM(S$5:S46)-SUM(CF$5:CF46)</f>
        <v>400000</v>
      </c>
      <c r="CE47" s="10">
        <f t="shared" si="42"/>
        <v>0</v>
      </c>
      <c r="CF47" s="10">
        <f t="shared" si="43"/>
        <v>0</v>
      </c>
      <c r="CG47" s="10">
        <f t="shared" si="44"/>
        <v>0</v>
      </c>
      <c r="CI47" s="44">
        <v>0.8392</v>
      </c>
      <c r="CJ47" s="10">
        <f t="shared" si="45"/>
        <v>0</v>
      </c>
      <c r="CK47" s="4">
        <f t="shared" si="50"/>
        <v>0</v>
      </c>
      <c r="CM47" s="10">
        <f t="shared" si="51"/>
        <v>0</v>
      </c>
      <c r="CN47" s="4">
        <f t="shared" si="52"/>
        <v>0</v>
      </c>
    </row>
    <row r="48" spans="1:92" ht="15.75">
      <c r="A48" s="36"/>
      <c r="B48" s="37">
        <v>38565</v>
      </c>
      <c r="C48" s="77">
        <f t="shared" si="1"/>
        <v>2.6048</v>
      </c>
      <c r="D48" s="78">
        <f>C48*(1+Podsumowanie!E$11)</f>
        <v>2.682944</v>
      </c>
      <c r="E48" s="34">
        <f t="shared" si="53"/>
        <v>0</v>
      </c>
      <c r="F48" s="7">
        <f t="shared" si="54"/>
        <v>0</v>
      </c>
      <c r="G48" s="7">
        <f t="shared" si="55"/>
        <v>0</v>
      </c>
      <c r="H48" s="7">
        <f t="shared" si="56"/>
        <v>0</v>
      </c>
      <c r="I48" s="32"/>
      <c r="J48" s="4" t="str">
        <f t="shared" si="57"/>
        <v xml:space="preserve"> </v>
      </c>
      <c r="K48" s="4">
        <f>IF(B48&lt;Podsumowanie!E$7,0,K47+1)</f>
        <v>0</v>
      </c>
      <c r="L48" s="100">
        <f t="shared" si="2"/>
        <v>0.007567</v>
      </c>
      <c r="M48" s="38">
        <f>L48+Podsumowanie!E$6</f>
        <v>0.019567</v>
      </c>
      <c r="N48" s="101">
        <f>MAX(Podsumowanie!E$4+SUM(AA$5:AA47)-SUM(X$5:X48)+SUM(W$5:W48),0)</f>
        <v>181357.6981355522</v>
      </c>
      <c r="O48" s="102">
        <f>MAX(Podsumowanie!E$2+SUM(V$5:V47)-SUM(S$5:S48)+SUM(R$5:R48),0)</f>
        <v>400000</v>
      </c>
      <c r="P48" s="39">
        <f t="shared" si="58"/>
        <v>360</v>
      </c>
      <c r="Q48" s="40" t="str">
        <f>IF(AND(K48&gt;0,K48&lt;=Podsumowanie!E$9),"tak","nie")</f>
        <v>nie</v>
      </c>
      <c r="R48" s="41"/>
      <c r="S48" s="42"/>
      <c r="T48" s="88">
        <f t="shared" si="59"/>
        <v>0</v>
      </c>
      <c r="U48" s="89">
        <f>IF(Q48="tak",T48,IF(P48-SUM(AB$5:AB48)+1&gt;0,IF(Podsumowanie!E$7&lt;B48,IF(SUM(AB$5:AB48)-Podsumowanie!E$9+1&gt;0,PMT(M48/12,P48+1-SUM(AB$5:AB48),O48),T48),0),0))</f>
        <v>0</v>
      </c>
      <c r="V48" s="89">
        <f t="shared" si="60"/>
        <v>0</v>
      </c>
      <c r="W48" s="90" t="str">
        <f>IF(R48&gt;0,R48/(C48*(1-Podsumowanie!E$11))," ")</f>
        <v xml:space="preserve"> </v>
      </c>
      <c r="X48" s="90">
        <f t="shared" si="19"/>
        <v>0</v>
      </c>
      <c r="Y48" s="91">
        <f t="shared" si="3"/>
        <v>0</v>
      </c>
      <c r="Z48" s="90">
        <f>IF(P48-SUM(AB$5:AB48)+1&gt;0,IF(Podsumowanie!E$7&lt;B48,IF(SUM(AB$5:AB48)-Podsumowanie!E$9+1&gt;0,PMT(M48/12,P48+1-SUM(AB$5:AB48),N48),Y48),0),0)</f>
        <v>0</v>
      </c>
      <c r="AA48" s="90">
        <f t="shared" si="61"/>
        <v>0</v>
      </c>
      <c r="AB48" s="8" t="str">
        <f>IF(AND(Podsumowanie!E$7&lt;B48,SUM(AB$5:AB47)&lt;P47),1," ")</f>
        <v xml:space="preserve"> </v>
      </c>
      <c r="AD48" s="51">
        <f>IF(OR(B48&lt;Podsumowanie!E$12,Podsumowanie!E$12=""),-F48+S48,0)</f>
        <v>0</v>
      </c>
      <c r="AE48" s="51">
        <f t="shared" si="22"/>
        <v>0</v>
      </c>
      <c r="AG48" s="10">
        <f>Podsumowanie!E$4-SUM(AI$5:AI47)+SUM(W$42:W48)-SUM(X$42:X48)</f>
        <v>181357.6981355522</v>
      </c>
      <c r="AH48" s="10">
        <f t="shared" si="62"/>
        <v>0</v>
      </c>
      <c r="AI48" s="10">
        <f t="shared" si="63"/>
        <v>0</v>
      </c>
      <c r="AJ48" s="10">
        <f t="shared" si="64"/>
        <v>0</v>
      </c>
      <c r="AK48" s="10">
        <f t="shared" si="65"/>
        <v>0</v>
      </c>
      <c r="AL48" s="10">
        <f>Podsumowanie!E$2-SUM(AN$5:AN47)+SUM(R$42:R48)-SUM(S$42:S48)</f>
        <v>400000</v>
      </c>
      <c r="AM48" s="10">
        <f t="shared" si="66"/>
        <v>0</v>
      </c>
      <c r="AN48" s="10">
        <f t="shared" si="67"/>
        <v>0</v>
      </c>
      <c r="AO48" s="10">
        <f t="shared" si="68"/>
        <v>0</v>
      </c>
      <c r="AP48" s="10">
        <f t="shared" si="69"/>
        <v>0</v>
      </c>
      <c r="AR48" s="43">
        <f t="shared" si="70"/>
        <v>38565</v>
      </c>
      <c r="AS48" s="11">
        <f>AS$5+SUM(AV$5:AV47)-SUM(X$5:X48)+SUM(W$5:W48)</f>
        <v>175916.96719148563</v>
      </c>
      <c r="AT48" s="10">
        <f t="shared" si="71"/>
        <v>0</v>
      </c>
      <c r="AU48" s="10">
        <f>IF(AB48=1,IF(Q48="tak",AT48,PMT(M48/12,P48+1-SUM(AB$5:AB48),AS48)),0)</f>
        <v>0</v>
      </c>
      <c r="AV48" s="10">
        <f t="shared" si="72"/>
        <v>0</v>
      </c>
      <c r="AW48" s="10">
        <f t="shared" si="73"/>
        <v>0</v>
      </c>
      <c r="AY48" s="11">
        <f>AY$5+SUM(BA$5:BA47)+SUM(W$5:W47)-SUM(X$5:X47)</f>
        <v>175916.96719148563</v>
      </c>
      <c r="AZ48" s="11">
        <f t="shared" si="74"/>
        <v>0</v>
      </c>
      <c r="BA48" s="11">
        <f t="shared" si="75"/>
        <v>0</v>
      </c>
      <c r="BB48" s="11">
        <f t="shared" si="76"/>
        <v>0</v>
      </c>
      <c r="BC48" s="11">
        <f t="shared" si="77"/>
        <v>0</v>
      </c>
      <c r="BE48" s="172">
        <f t="shared" si="4"/>
        <v>0.0467</v>
      </c>
      <c r="BF48" s="44">
        <f>BE48+Podsumowanie!$E$6</f>
        <v>0.0587</v>
      </c>
      <c r="BG48" s="11">
        <f>BG$5+SUM(BH$5:BH47)+SUM(R$5:R47)-SUM(S$5:S47)</f>
        <v>400000</v>
      </c>
      <c r="BH48" s="10">
        <f t="shared" si="78"/>
        <v>0</v>
      </c>
      <c r="BI48" s="10">
        <f t="shared" si="79"/>
        <v>0</v>
      </c>
      <c r="BJ48" s="10">
        <f>IF(U48&lt;0,PMT(BF48/12,Podsumowanie!E$8-SUM(AB$5:AB48)+1,BG48),0)</f>
        <v>0</v>
      </c>
      <c r="BL48" s="11">
        <f>BL$5+SUM(BN$5:BN47)+SUM(R$5:R47)-SUM(S$5:S47)</f>
        <v>400000</v>
      </c>
      <c r="BM48" s="11">
        <f t="shared" si="5"/>
        <v>0</v>
      </c>
      <c r="BN48" s="11">
        <f t="shared" si="6"/>
        <v>0</v>
      </c>
      <c r="BO48" s="11">
        <f t="shared" si="7"/>
        <v>0</v>
      </c>
      <c r="BQ48" s="44">
        <f t="shared" si="8"/>
        <v>0.0588</v>
      </c>
      <c r="BR48" s="11">
        <f>BR$5+SUM(BS$5:BS47)+SUM(R$5:R47)-SUM(S$5:S47)+SUM(BV$5:BV47)</f>
        <v>400000</v>
      </c>
      <c r="BS48" s="10">
        <f t="shared" si="46"/>
        <v>0</v>
      </c>
      <c r="BT48" s="10">
        <f t="shared" si="47"/>
        <v>0</v>
      </c>
      <c r="BU48" s="10">
        <f>IF(U48&lt;0,PMT(BQ48/12,Podsumowanie!E$8-SUM(AB$5:AB48)+1,BR48),0)</f>
        <v>0</v>
      </c>
      <c r="BV48" s="10">
        <f t="shared" si="41"/>
        <v>0</v>
      </c>
      <c r="BX48" s="11">
        <f>BX$5+SUM(BZ$5:BZ47)+SUM(R$5:R47)-SUM(S$5:S47)+SUM(CB$5,CB47)</f>
        <v>400000</v>
      </c>
      <c r="BY48" s="10">
        <f t="shared" si="9"/>
        <v>0</v>
      </c>
      <c r="BZ48" s="10">
        <f t="shared" si="10"/>
        <v>0</v>
      </c>
      <c r="CA48" s="10">
        <f t="shared" si="48"/>
        <v>0</v>
      </c>
      <c r="CB48" s="10">
        <f t="shared" si="49"/>
        <v>0</v>
      </c>
      <c r="CD48" s="10">
        <f>CD$5+SUM(CE$5:CE47)+SUM(R$5:R47)-SUM(S$5:S47)-SUM(CF$5:CF47)</f>
        <v>400000</v>
      </c>
      <c r="CE48" s="10">
        <f t="shared" si="42"/>
        <v>0</v>
      </c>
      <c r="CF48" s="10">
        <f t="shared" si="43"/>
        <v>0</v>
      </c>
      <c r="CG48" s="10">
        <f t="shared" si="44"/>
        <v>0</v>
      </c>
      <c r="CI48" s="44">
        <v>0.8429</v>
      </c>
      <c r="CJ48" s="10">
        <f t="shared" si="45"/>
        <v>0</v>
      </c>
      <c r="CK48" s="4">
        <f t="shared" si="50"/>
        <v>0</v>
      </c>
      <c r="CM48" s="10">
        <f t="shared" si="51"/>
        <v>0</v>
      </c>
      <c r="CN48" s="4">
        <f t="shared" si="52"/>
        <v>0</v>
      </c>
    </row>
    <row r="49" spans="1:92" ht="15.75">
      <c r="A49" s="36"/>
      <c r="B49" s="37">
        <v>38596</v>
      </c>
      <c r="C49" s="77">
        <f t="shared" si="1"/>
        <v>2.5338</v>
      </c>
      <c r="D49" s="78">
        <f>C49*(1+Podsumowanie!E$11)</f>
        <v>2.609814</v>
      </c>
      <c r="E49" s="34">
        <f t="shared" si="53"/>
        <v>0</v>
      </c>
      <c r="F49" s="7">
        <f t="shared" si="54"/>
        <v>0</v>
      </c>
      <c r="G49" s="7">
        <f t="shared" si="55"/>
        <v>0</v>
      </c>
      <c r="H49" s="7">
        <f t="shared" si="56"/>
        <v>0</v>
      </c>
      <c r="I49" s="32"/>
      <c r="J49" s="4" t="str">
        <f t="shared" si="57"/>
        <v xml:space="preserve"> </v>
      </c>
      <c r="K49" s="4">
        <f>IF(B49&lt;Podsumowanie!E$7,0,K48+1)</f>
        <v>0</v>
      </c>
      <c r="L49" s="100">
        <f t="shared" si="2"/>
        <v>0.0076</v>
      </c>
      <c r="M49" s="38">
        <f>L49+Podsumowanie!E$6</f>
        <v>0.0196</v>
      </c>
      <c r="N49" s="101">
        <f>MAX(Podsumowanie!E$4+SUM(AA$5:AA48)-SUM(X$5:X49)+SUM(W$5:W49),0)</f>
        <v>181357.6981355522</v>
      </c>
      <c r="O49" s="102">
        <f>MAX(Podsumowanie!E$2+SUM(V$5:V48)-SUM(S$5:S49)+SUM(R$5:R49),0)</f>
        <v>400000</v>
      </c>
      <c r="P49" s="39">
        <f t="shared" si="58"/>
        <v>360</v>
      </c>
      <c r="Q49" s="40" t="str">
        <f>IF(AND(K49&gt;0,K49&lt;=Podsumowanie!E$9),"tak","nie")</f>
        <v>nie</v>
      </c>
      <c r="R49" s="41"/>
      <c r="S49" s="42"/>
      <c r="T49" s="88">
        <f t="shared" si="59"/>
        <v>0</v>
      </c>
      <c r="U49" s="89">
        <f>IF(Q49="tak",T49,IF(P49-SUM(AB$5:AB49)+1&gt;0,IF(Podsumowanie!E$7&lt;B49,IF(SUM(AB$5:AB49)-Podsumowanie!E$9+1&gt;0,PMT(M49/12,P49+1-SUM(AB$5:AB49),O49),T49),0),0))</f>
        <v>0</v>
      </c>
      <c r="V49" s="89">
        <f t="shared" si="60"/>
        <v>0</v>
      </c>
      <c r="W49" s="90" t="str">
        <f>IF(R49&gt;0,R49/(C49*(1-Podsumowanie!E$11))," ")</f>
        <v xml:space="preserve"> </v>
      </c>
      <c r="X49" s="90">
        <f t="shared" si="19"/>
        <v>0</v>
      </c>
      <c r="Y49" s="91">
        <f t="shared" si="3"/>
        <v>0</v>
      </c>
      <c r="Z49" s="90">
        <f>IF(P49-SUM(AB$5:AB49)+1&gt;0,IF(Podsumowanie!E$7&lt;B49,IF(SUM(AB$5:AB49)-Podsumowanie!E$9+1&gt;0,PMT(M49/12,P49+1-SUM(AB$5:AB49),N49),Y49),0),0)</f>
        <v>0</v>
      </c>
      <c r="AA49" s="90">
        <f t="shared" si="61"/>
        <v>0</v>
      </c>
      <c r="AB49" s="8" t="str">
        <f>IF(AND(Podsumowanie!E$7&lt;B49,SUM(AB$5:AB48)&lt;P48),1," ")</f>
        <v xml:space="preserve"> </v>
      </c>
      <c r="AD49" s="51">
        <f>IF(OR(B49&lt;Podsumowanie!E$12,Podsumowanie!E$12=""),-F49+S49,0)</f>
        <v>0</v>
      </c>
      <c r="AE49" s="51">
        <f t="shared" si="22"/>
        <v>0</v>
      </c>
      <c r="AG49" s="10">
        <f>Podsumowanie!E$4-SUM(AI$5:AI48)+SUM(W$42:W49)-SUM(X$42:X49)</f>
        <v>181357.6981355522</v>
      </c>
      <c r="AH49" s="10">
        <f t="shared" si="62"/>
        <v>0</v>
      </c>
      <c r="AI49" s="10">
        <f t="shared" si="63"/>
        <v>0</v>
      </c>
      <c r="AJ49" s="10">
        <f t="shared" si="64"/>
        <v>0</v>
      </c>
      <c r="AK49" s="10">
        <f t="shared" si="65"/>
        <v>0</v>
      </c>
      <c r="AL49" s="10">
        <f>Podsumowanie!E$2-SUM(AN$5:AN48)+SUM(R$42:R49)-SUM(S$42:S49)</f>
        <v>400000</v>
      </c>
      <c r="AM49" s="10">
        <f t="shared" si="66"/>
        <v>0</v>
      </c>
      <c r="AN49" s="10">
        <f t="shared" si="67"/>
        <v>0</v>
      </c>
      <c r="AO49" s="10">
        <f t="shared" si="68"/>
        <v>0</v>
      </c>
      <c r="AP49" s="10">
        <f t="shared" si="69"/>
        <v>0</v>
      </c>
      <c r="AR49" s="43">
        <f t="shared" si="70"/>
        <v>38596</v>
      </c>
      <c r="AS49" s="11">
        <f>AS$5+SUM(AV$5:AV48)-SUM(X$5:X49)+SUM(W$5:W49)</f>
        <v>175916.96719148563</v>
      </c>
      <c r="AT49" s="10">
        <f t="shared" si="71"/>
        <v>0</v>
      </c>
      <c r="AU49" s="10">
        <f>IF(AB49=1,IF(Q49="tak",AT49,PMT(M49/12,P49+1-SUM(AB$5:AB49),AS49)),0)</f>
        <v>0</v>
      </c>
      <c r="AV49" s="10">
        <f t="shared" si="72"/>
        <v>0</v>
      </c>
      <c r="AW49" s="10">
        <f t="shared" si="73"/>
        <v>0</v>
      </c>
      <c r="AY49" s="11">
        <f>AY$5+SUM(BA$5:BA48)+SUM(W$5:W48)-SUM(X$5:X48)</f>
        <v>175916.96719148563</v>
      </c>
      <c r="AZ49" s="11">
        <f t="shared" si="74"/>
        <v>0</v>
      </c>
      <c r="BA49" s="11">
        <f t="shared" si="75"/>
        <v>0</v>
      </c>
      <c r="BB49" s="11">
        <f t="shared" si="76"/>
        <v>0</v>
      </c>
      <c r="BC49" s="11">
        <f t="shared" si="77"/>
        <v>0</v>
      </c>
      <c r="BE49" s="172">
        <f t="shared" si="4"/>
        <v>0.0451</v>
      </c>
      <c r="BF49" s="44">
        <f>BE49+Podsumowanie!$E$6</f>
        <v>0.0571</v>
      </c>
      <c r="BG49" s="11">
        <f>BG$5+SUM(BH$5:BH48)+SUM(R$5:R48)-SUM(S$5:S48)</f>
        <v>400000</v>
      </c>
      <c r="BH49" s="10">
        <f t="shared" si="78"/>
        <v>0</v>
      </c>
      <c r="BI49" s="10">
        <f t="shared" si="79"/>
        <v>0</v>
      </c>
      <c r="BJ49" s="10">
        <f>IF(U49&lt;0,PMT(BF49/12,Podsumowanie!E$8-SUM(AB$5:AB49)+1,BG49),0)</f>
        <v>0</v>
      </c>
      <c r="BL49" s="11">
        <f>BL$5+SUM(BN$5:BN48)+SUM(R$5:R48)-SUM(S$5:S48)</f>
        <v>400000</v>
      </c>
      <c r="BM49" s="11">
        <f t="shared" si="5"/>
        <v>0</v>
      </c>
      <c r="BN49" s="11">
        <f t="shared" si="6"/>
        <v>0</v>
      </c>
      <c r="BO49" s="11">
        <f t="shared" si="7"/>
        <v>0</v>
      </c>
      <c r="BQ49" s="44">
        <f t="shared" si="8"/>
        <v>0.0572</v>
      </c>
      <c r="BR49" s="11">
        <f>BR$5+SUM(BS$5:BS48)+SUM(R$5:R48)-SUM(S$5:S48)+SUM(BV$5:BV48)</f>
        <v>400000</v>
      </c>
      <c r="BS49" s="10">
        <f t="shared" si="46"/>
        <v>0</v>
      </c>
      <c r="BT49" s="10">
        <f t="shared" si="47"/>
        <v>0</v>
      </c>
      <c r="BU49" s="10">
        <f>IF(U49&lt;0,PMT(BQ49/12,Podsumowanie!E$8-SUM(AB$5:AB49)+1,BR49),0)</f>
        <v>0</v>
      </c>
      <c r="BV49" s="10">
        <f t="shared" si="41"/>
        <v>0</v>
      </c>
      <c r="BX49" s="11">
        <f>BX$5+SUM(BZ$5:BZ48)+SUM(R$5:R48)-SUM(S$5:S48)+SUM(CB$5,CB48)</f>
        <v>400000</v>
      </c>
      <c r="BY49" s="10">
        <f t="shared" si="9"/>
        <v>0</v>
      </c>
      <c r="BZ49" s="10">
        <f t="shared" si="10"/>
        <v>0</v>
      </c>
      <c r="CA49" s="10">
        <f t="shared" si="48"/>
        <v>0</v>
      </c>
      <c r="CB49" s="10">
        <f t="shared" si="49"/>
        <v>0</v>
      </c>
      <c r="CD49" s="10">
        <f>CD$5+SUM(CE$5:CE48)+SUM(R$5:R48)-SUM(S$5:S48)-SUM(CF$5:CF48)</f>
        <v>400000</v>
      </c>
      <c r="CE49" s="10">
        <f t="shared" si="42"/>
        <v>0</v>
      </c>
      <c r="CF49" s="10">
        <f t="shared" si="43"/>
        <v>0</v>
      </c>
      <c r="CG49" s="10">
        <f t="shared" si="44"/>
        <v>0</v>
      </c>
      <c r="CI49" s="44">
        <v>0.8447</v>
      </c>
      <c r="CJ49" s="10">
        <f t="shared" si="45"/>
        <v>0</v>
      </c>
      <c r="CK49" s="4">
        <f t="shared" si="50"/>
        <v>0</v>
      </c>
      <c r="CM49" s="10">
        <f t="shared" si="51"/>
        <v>0</v>
      </c>
      <c r="CN49" s="4">
        <f t="shared" si="52"/>
        <v>0</v>
      </c>
    </row>
    <row r="50" spans="1:92" ht="15.75">
      <c r="A50" s="36"/>
      <c r="B50" s="37">
        <v>38626</v>
      </c>
      <c r="C50" s="77">
        <f t="shared" si="1"/>
        <v>2.5343</v>
      </c>
      <c r="D50" s="78">
        <f>C50*(1+Podsumowanie!E$11)</f>
        <v>2.610329</v>
      </c>
      <c r="E50" s="34">
        <f t="shared" si="53"/>
        <v>0</v>
      </c>
      <c r="F50" s="7">
        <f t="shared" si="54"/>
        <v>0</v>
      </c>
      <c r="G50" s="7">
        <f t="shared" si="55"/>
        <v>0</v>
      </c>
      <c r="H50" s="7">
        <f t="shared" si="56"/>
        <v>0</v>
      </c>
      <c r="I50" s="32"/>
      <c r="J50" s="4" t="str">
        <f t="shared" si="57"/>
        <v xml:space="preserve"> </v>
      </c>
      <c r="K50" s="4">
        <f>IF(B50&lt;Podsumowanie!E$7,0,K49+1)</f>
        <v>0</v>
      </c>
      <c r="L50" s="100">
        <f t="shared" si="2"/>
        <v>0.007983</v>
      </c>
      <c r="M50" s="38">
        <f>L50+Podsumowanie!E$6</f>
        <v>0.019983</v>
      </c>
      <c r="N50" s="101">
        <f>MAX(Podsumowanie!E$4+SUM(AA$5:AA49)-SUM(X$5:X50)+SUM(W$5:W50),0)</f>
        <v>181357.6981355522</v>
      </c>
      <c r="O50" s="102">
        <f>MAX(Podsumowanie!E$2+SUM(V$5:V49)-SUM(S$5:S50)+SUM(R$5:R50),0)</f>
        <v>400000</v>
      </c>
      <c r="P50" s="39">
        <f t="shared" si="58"/>
        <v>360</v>
      </c>
      <c r="Q50" s="40" t="str">
        <f>IF(AND(K50&gt;0,K50&lt;=Podsumowanie!E$9),"tak","nie")</f>
        <v>nie</v>
      </c>
      <c r="R50" s="41"/>
      <c r="S50" s="42"/>
      <c r="T50" s="88">
        <f t="shared" si="59"/>
        <v>0</v>
      </c>
      <c r="U50" s="89">
        <f>IF(Q50="tak",T50,IF(P50-SUM(AB$5:AB50)+1&gt;0,IF(Podsumowanie!E$7&lt;B50,IF(SUM(AB$5:AB50)-Podsumowanie!E$9+1&gt;0,PMT(M50/12,P50+1-SUM(AB$5:AB50),O50),T50),0),0))</f>
        <v>0</v>
      </c>
      <c r="V50" s="89">
        <f t="shared" si="60"/>
        <v>0</v>
      </c>
      <c r="W50" s="90" t="str">
        <f>IF(R50&gt;0,R50/(C50*(1-Podsumowanie!E$11))," ")</f>
        <v xml:space="preserve"> </v>
      </c>
      <c r="X50" s="90">
        <f t="shared" si="19"/>
        <v>0</v>
      </c>
      <c r="Y50" s="91">
        <f t="shared" si="3"/>
        <v>0</v>
      </c>
      <c r="Z50" s="90">
        <f>IF(P50-SUM(AB$5:AB50)+1&gt;0,IF(Podsumowanie!E$7&lt;B50,IF(SUM(AB$5:AB50)-Podsumowanie!E$9+1&gt;0,PMT(M50/12,P50+1-SUM(AB$5:AB50),N50),Y50),0),0)</f>
        <v>0</v>
      </c>
      <c r="AA50" s="90">
        <f t="shared" si="61"/>
        <v>0</v>
      </c>
      <c r="AB50" s="8" t="str">
        <f>IF(AND(Podsumowanie!E$7&lt;B50,SUM(AB$5:AB49)&lt;P49),1," ")</f>
        <v xml:space="preserve"> </v>
      </c>
      <c r="AD50" s="51">
        <f>IF(OR(B50&lt;Podsumowanie!E$12,Podsumowanie!E$12=""),-F50+S50,0)</f>
        <v>0</v>
      </c>
      <c r="AE50" s="51">
        <f t="shared" si="22"/>
        <v>0</v>
      </c>
      <c r="AG50" s="10">
        <f>Podsumowanie!E$4-SUM(AI$5:AI49)+SUM(W$42:W50)-SUM(X$42:X50)</f>
        <v>181357.6981355522</v>
      </c>
      <c r="AH50" s="10">
        <f t="shared" si="62"/>
        <v>0</v>
      </c>
      <c r="AI50" s="10">
        <f t="shared" si="63"/>
        <v>0</v>
      </c>
      <c r="AJ50" s="10">
        <f t="shared" si="64"/>
        <v>0</v>
      </c>
      <c r="AK50" s="10">
        <f t="shared" si="65"/>
        <v>0</v>
      </c>
      <c r="AL50" s="10">
        <f>Podsumowanie!E$2-SUM(AN$5:AN49)+SUM(R$42:R50)-SUM(S$42:S50)</f>
        <v>400000</v>
      </c>
      <c r="AM50" s="10">
        <f t="shared" si="66"/>
        <v>0</v>
      </c>
      <c r="AN50" s="10">
        <f t="shared" si="67"/>
        <v>0</v>
      </c>
      <c r="AO50" s="10">
        <f t="shared" si="68"/>
        <v>0</v>
      </c>
      <c r="AP50" s="10">
        <f t="shared" si="69"/>
        <v>0</v>
      </c>
      <c r="AR50" s="43">
        <f t="shared" si="70"/>
        <v>38626</v>
      </c>
      <c r="AS50" s="11">
        <f>AS$5+SUM(AV$5:AV49)-SUM(X$5:X50)+SUM(W$5:W50)</f>
        <v>175916.96719148563</v>
      </c>
      <c r="AT50" s="10">
        <f t="shared" si="71"/>
        <v>0</v>
      </c>
      <c r="AU50" s="10">
        <f>IF(AB50=1,IF(Q50="tak",AT50,PMT(M50/12,P50+1-SUM(AB$5:AB50),AS50)),0)</f>
        <v>0</v>
      </c>
      <c r="AV50" s="10">
        <f t="shared" si="72"/>
        <v>0</v>
      </c>
      <c r="AW50" s="10">
        <f t="shared" si="73"/>
        <v>0</v>
      </c>
      <c r="AY50" s="11">
        <f>AY$5+SUM(BA$5:BA49)+SUM(W$5:W49)-SUM(X$5:X49)</f>
        <v>175916.96719148563</v>
      </c>
      <c r="AZ50" s="11">
        <f t="shared" si="74"/>
        <v>0</v>
      </c>
      <c r="BA50" s="11">
        <f t="shared" si="75"/>
        <v>0</v>
      </c>
      <c r="BB50" s="11">
        <f t="shared" si="76"/>
        <v>0</v>
      </c>
      <c r="BC50" s="11">
        <f t="shared" si="77"/>
        <v>0</v>
      </c>
      <c r="BE50" s="172">
        <f t="shared" si="4"/>
        <v>0.0455</v>
      </c>
      <c r="BF50" s="44">
        <f>BE50+Podsumowanie!$E$6</f>
        <v>0.057499999999999996</v>
      </c>
      <c r="BG50" s="11">
        <f>BG$5+SUM(BH$5:BH49)+SUM(R$5:R49)-SUM(S$5:S49)</f>
        <v>400000</v>
      </c>
      <c r="BH50" s="10">
        <f t="shared" si="78"/>
        <v>0</v>
      </c>
      <c r="BI50" s="10">
        <f t="shared" si="79"/>
        <v>0</v>
      </c>
      <c r="BJ50" s="10">
        <f>IF(U50&lt;0,PMT(BF50/12,Podsumowanie!E$8-SUM(AB$5:AB50)+1,BG50),0)</f>
        <v>0</v>
      </c>
      <c r="BL50" s="11">
        <f>BL$5+SUM(BN$5:BN49)+SUM(R$5:R49)-SUM(S$5:S49)</f>
        <v>400000</v>
      </c>
      <c r="BM50" s="11">
        <f t="shared" si="5"/>
        <v>0</v>
      </c>
      <c r="BN50" s="11">
        <f t="shared" si="6"/>
        <v>0</v>
      </c>
      <c r="BO50" s="11">
        <f t="shared" si="7"/>
        <v>0</v>
      </c>
      <c r="BQ50" s="44">
        <f t="shared" si="8"/>
        <v>0.0576</v>
      </c>
      <c r="BR50" s="11">
        <f>BR$5+SUM(BS$5:BS49)+SUM(R$5:R49)-SUM(S$5:S49)+SUM(BV$5:BV49)</f>
        <v>400000</v>
      </c>
      <c r="BS50" s="10">
        <f t="shared" si="46"/>
        <v>0</v>
      </c>
      <c r="BT50" s="10">
        <f t="shared" si="47"/>
        <v>0</v>
      </c>
      <c r="BU50" s="10">
        <f>IF(U50&lt;0,PMT(BQ50/12,Podsumowanie!E$8-SUM(AB$5:AB50)+1,BR50),0)</f>
        <v>0</v>
      </c>
      <c r="BV50" s="10">
        <f t="shared" si="41"/>
        <v>0</v>
      </c>
      <c r="BX50" s="11">
        <f>BX$5+SUM(BZ$5:BZ49)+SUM(R$5:R49)-SUM(S$5:S49)+SUM(CB$5,CB49)</f>
        <v>400000</v>
      </c>
      <c r="BY50" s="10">
        <f t="shared" si="9"/>
        <v>0</v>
      </c>
      <c r="BZ50" s="10">
        <f t="shared" si="10"/>
        <v>0</v>
      </c>
      <c r="CA50" s="10">
        <f t="shared" si="48"/>
        <v>0</v>
      </c>
      <c r="CB50" s="10">
        <f t="shared" si="49"/>
        <v>0</v>
      </c>
      <c r="CD50" s="10">
        <f>CD$5+SUM(CE$5:CE49)+SUM(R$5:R49)-SUM(S$5:S49)-SUM(CF$5:CF49)</f>
        <v>400000</v>
      </c>
      <c r="CE50" s="10">
        <f t="shared" si="42"/>
        <v>0</v>
      </c>
      <c r="CF50" s="10">
        <f t="shared" si="43"/>
        <v>0</v>
      </c>
      <c r="CG50" s="10">
        <f t="shared" si="44"/>
        <v>0</v>
      </c>
      <c r="CI50" s="44">
        <v>0.8374</v>
      </c>
      <c r="CJ50" s="10">
        <f t="shared" si="45"/>
        <v>0</v>
      </c>
      <c r="CK50" s="4">
        <f t="shared" si="50"/>
        <v>0</v>
      </c>
      <c r="CM50" s="10">
        <f t="shared" si="51"/>
        <v>0</v>
      </c>
      <c r="CN50" s="4">
        <f t="shared" si="52"/>
        <v>0</v>
      </c>
    </row>
    <row r="51" spans="1:92" ht="15.75">
      <c r="A51" s="36"/>
      <c r="B51" s="37">
        <v>38657</v>
      </c>
      <c r="C51" s="77">
        <f t="shared" si="1"/>
        <v>2.5703</v>
      </c>
      <c r="D51" s="78">
        <f>C51*(1+Podsumowanie!E$11)</f>
        <v>2.647409</v>
      </c>
      <c r="E51" s="34">
        <f t="shared" si="53"/>
        <v>0</v>
      </c>
      <c r="F51" s="7">
        <f t="shared" si="54"/>
        <v>0</v>
      </c>
      <c r="G51" s="7">
        <f t="shared" si="55"/>
        <v>0</v>
      </c>
      <c r="H51" s="7">
        <f t="shared" si="56"/>
        <v>0</v>
      </c>
      <c r="I51" s="32"/>
      <c r="J51" s="4" t="str">
        <f t="shared" si="57"/>
        <v xml:space="preserve"> </v>
      </c>
      <c r="K51" s="4">
        <f>IF(B51&lt;Podsumowanie!E$7,0,K50+1)</f>
        <v>0</v>
      </c>
      <c r="L51" s="100">
        <f t="shared" si="2"/>
        <v>0.0087</v>
      </c>
      <c r="M51" s="38">
        <f>L51+Podsumowanie!E$6</f>
        <v>0.0207</v>
      </c>
      <c r="N51" s="101">
        <f>MAX(Podsumowanie!E$4+SUM(AA$5:AA50)-SUM(X$5:X51)+SUM(W$5:W51),0)</f>
        <v>181357.6981355522</v>
      </c>
      <c r="O51" s="102">
        <f>MAX(Podsumowanie!E$2+SUM(V$5:V50)-SUM(S$5:S51)+SUM(R$5:R51),0)</f>
        <v>400000</v>
      </c>
      <c r="P51" s="39">
        <f t="shared" si="58"/>
        <v>360</v>
      </c>
      <c r="Q51" s="40" t="str">
        <f>IF(AND(K51&gt;0,K51&lt;=Podsumowanie!E$9),"tak","nie")</f>
        <v>nie</v>
      </c>
      <c r="R51" s="41"/>
      <c r="S51" s="42"/>
      <c r="T51" s="88">
        <f t="shared" si="59"/>
        <v>0</v>
      </c>
      <c r="U51" s="89">
        <f>IF(Q51="tak",T51,IF(P51-SUM(AB$5:AB51)+1&gt;0,IF(Podsumowanie!E$7&lt;B51,IF(SUM(AB$5:AB51)-Podsumowanie!E$9+1&gt;0,PMT(M51/12,P51+1-SUM(AB$5:AB51),O51),T51),0),0))</f>
        <v>0</v>
      </c>
      <c r="V51" s="89">
        <f t="shared" si="60"/>
        <v>0</v>
      </c>
      <c r="W51" s="90" t="str">
        <f>IF(R51&gt;0,R51/(C51*(1-Podsumowanie!E$11))," ")</f>
        <v xml:space="preserve"> </v>
      </c>
      <c r="X51" s="90">
        <f t="shared" si="19"/>
        <v>0</v>
      </c>
      <c r="Y51" s="91">
        <f t="shared" si="3"/>
        <v>0</v>
      </c>
      <c r="Z51" s="90">
        <f>IF(P51-SUM(AB$5:AB51)+1&gt;0,IF(Podsumowanie!E$7&lt;B51,IF(SUM(AB$5:AB51)-Podsumowanie!E$9+1&gt;0,PMT(M51/12,P51+1-SUM(AB$5:AB51),N51),Y51),0),0)</f>
        <v>0</v>
      </c>
      <c r="AA51" s="90">
        <f t="shared" si="61"/>
        <v>0</v>
      </c>
      <c r="AB51" s="8" t="str">
        <f>IF(AND(Podsumowanie!E$7&lt;B51,SUM(AB$5:AB50)&lt;P50),1," ")</f>
        <v xml:space="preserve"> </v>
      </c>
      <c r="AD51" s="51">
        <f>IF(OR(B51&lt;Podsumowanie!E$12,Podsumowanie!E$12=""),-F51+S51,0)</f>
        <v>0</v>
      </c>
      <c r="AE51" s="51">
        <f t="shared" si="22"/>
        <v>0</v>
      </c>
      <c r="AG51" s="10">
        <f>Podsumowanie!E$4-SUM(AI$5:AI50)+SUM(W$42:W51)-SUM(X$42:X51)</f>
        <v>181357.6981355522</v>
      </c>
      <c r="AH51" s="10">
        <f t="shared" si="62"/>
        <v>0</v>
      </c>
      <c r="AI51" s="10">
        <f t="shared" si="63"/>
        <v>0</v>
      </c>
      <c r="AJ51" s="10">
        <f t="shared" si="64"/>
        <v>0</v>
      </c>
      <c r="AK51" s="10">
        <f t="shared" si="65"/>
        <v>0</v>
      </c>
      <c r="AL51" s="10">
        <f>Podsumowanie!E$2-SUM(AN$5:AN50)+SUM(R$42:R51)-SUM(S$42:S51)</f>
        <v>400000</v>
      </c>
      <c r="AM51" s="10">
        <f t="shared" si="66"/>
        <v>0</v>
      </c>
      <c r="AN51" s="10">
        <f t="shared" si="67"/>
        <v>0</v>
      </c>
      <c r="AO51" s="10">
        <f t="shared" si="68"/>
        <v>0</v>
      </c>
      <c r="AP51" s="10">
        <f t="shared" si="69"/>
        <v>0</v>
      </c>
      <c r="AR51" s="43">
        <f t="shared" si="70"/>
        <v>38657</v>
      </c>
      <c r="AS51" s="11">
        <f>AS$5+SUM(AV$5:AV50)-SUM(X$5:X51)+SUM(W$5:W51)</f>
        <v>175916.96719148563</v>
      </c>
      <c r="AT51" s="10">
        <f t="shared" si="71"/>
        <v>0</v>
      </c>
      <c r="AU51" s="10">
        <f>IF(AB51=1,IF(Q51="tak",AT51,PMT(M51/12,P51+1-SUM(AB$5:AB51),AS51)),0)</f>
        <v>0</v>
      </c>
      <c r="AV51" s="10">
        <f t="shared" si="72"/>
        <v>0</v>
      </c>
      <c r="AW51" s="10">
        <f t="shared" si="73"/>
        <v>0</v>
      </c>
      <c r="AY51" s="11">
        <f>AY$5+SUM(BA$5:BA50)+SUM(W$5:W50)-SUM(X$5:X50)</f>
        <v>175916.96719148563</v>
      </c>
      <c r="AZ51" s="11">
        <f t="shared" si="74"/>
        <v>0</v>
      </c>
      <c r="BA51" s="11">
        <f t="shared" si="75"/>
        <v>0</v>
      </c>
      <c r="BB51" s="11">
        <f t="shared" si="76"/>
        <v>0</v>
      </c>
      <c r="BC51" s="11">
        <f t="shared" si="77"/>
        <v>0</v>
      </c>
      <c r="BE51" s="172">
        <f t="shared" si="4"/>
        <v>0.0464</v>
      </c>
      <c r="BF51" s="44">
        <f>BE51+Podsumowanie!$E$6</f>
        <v>0.058399999999999994</v>
      </c>
      <c r="BG51" s="11">
        <f>BG$5+SUM(BH$5:BH50)+SUM(R$5:R50)-SUM(S$5:S50)</f>
        <v>400000</v>
      </c>
      <c r="BH51" s="10">
        <f t="shared" si="78"/>
        <v>0</v>
      </c>
      <c r="BI51" s="10">
        <f t="shared" si="79"/>
        <v>0</v>
      </c>
      <c r="BJ51" s="10">
        <f>IF(U51&lt;0,PMT(BF51/12,Podsumowanie!E$8-SUM(AB$5:AB51)+1,BG51),0)</f>
        <v>0</v>
      </c>
      <c r="BL51" s="11">
        <f>BL$5+SUM(BN$5:BN50)+SUM(R$5:R50)-SUM(S$5:S50)</f>
        <v>400000</v>
      </c>
      <c r="BM51" s="11">
        <f t="shared" si="5"/>
        <v>0</v>
      </c>
      <c r="BN51" s="11">
        <f t="shared" si="6"/>
        <v>0</v>
      </c>
      <c r="BO51" s="11">
        <f t="shared" si="7"/>
        <v>0</v>
      </c>
      <c r="BQ51" s="44">
        <f t="shared" si="8"/>
        <v>0.058499999999999996</v>
      </c>
      <c r="BR51" s="11">
        <f>BR$5+SUM(BS$5:BS50)+SUM(R$5:R50)-SUM(S$5:S50)+SUM(BV$5:BV50)</f>
        <v>400000</v>
      </c>
      <c r="BS51" s="10">
        <f t="shared" si="46"/>
        <v>0</v>
      </c>
      <c r="BT51" s="10">
        <f t="shared" si="47"/>
        <v>0</v>
      </c>
      <c r="BU51" s="10">
        <f>IF(U51&lt;0,PMT(BQ51/12,Podsumowanie!E$8-SUM(AB$5:AB51)+1,BR51),0)</f>
        <v>0</v>
      </c>
      <c r="BV51" s="10">
        <f t="shared" si="41"/>
        <v>0</v>
      </c>
      <c r="BX51" s="11">
        <f>BX$5+SUM(BZ$5:BZ50)+SUM(R$5:R50)-SUM(S$5:S50)+SUM(CB$5,CB50)</f>
        <v>400000</v>
      </c>
      <c r="BY51" s="10">
        <f t="shared" si="9"/>
        <v>0</v>
      </c>
      <c r="BZ51" s="10">
        <f t="shared" si="10"/>
        <v>0</v>
      </c>
      <c r="CA51" s="10">
        <f t="shared" si="48"/>
        <v>0</v>
      </c>
      <c r="CB51" s="10">
        <f t="shared" si="49"/>
        <v>0</v>
      </c>
      <c r="CD51" s="10">
        <f>CD$5+SUM(CE$5:CE50)+SUM(R$5:R50)-SUM(S$5:S50)-SUM(CF$5:CF50)</f>
        <v>400000</v>
      </c>
      <c r="CE51" s="10">
        <f t="shared" si="42"/>
        <v>0</v>
      </c>
      <c r="CF51" s="10">
        <f t="shared" si="43"/>
        <v>0</v>
      </c>
      <c r="CG51" s="10">
        <f t="shared" si="44"/>
        <v>0</v>
      </c>
      <c r="CI51" s="44">
        <v>0.83</v>
      </c>
      <c r="CJ51" s="10">
        <f t="shared" si="45"/>
        <v>0</v>
      </c>
      <c r="CK51" s="4">
        <f t="shared" si="50"/>
        <v>0</v>
      </c>
      <c r="CM51" s="10">
        <f t="shared" si="51"/>
        <v>0</v>
      </c>
      <c r="CN51" s="4">
        <f t="shared" si="52"/>
        <v>0</v>
      </c>
    </row>
    <row r="52" spans="1:92" ht="15.75">
      <c r="A52" s="36"/>
      <c r="B52" s="37">
        <v>38687</v>
      </c>
      <c r="C52" s="77">
        <f t="shared" si="1"/>
        <v>2.4909</v>
      </c>
      <c r="D52" s="78">
        <f>C52*(1+Podsumowanie!E$11)</f>
        <v>2.565627</v>
      </c>
      <c r="E52" s="34">
        <f t="shared" si="53"/>
        <v>0</v>
      </c>
      <c r="F52" s="7">
        <f t="shared" si="54"/>
        <v>0</v>
      </c>
      <c r="G52" s="7">
        <f t="shared" si="55"/>
        <v>0</v>
      </c>
      <c r="H52" s="7">
        <f t="shared" si="56"/>
        <v>0</v>
      </c>
      <c r="I52" s="32"/>
      <c r="J52" s="4" t="str">
        <f t="shared" si="57"/>
        <v xml:space="preserve"> </v>
      </c>
      <c r="K52" s="4">
        <f>IF(B52&lt;Podsumowanie!E$7,0,K51+1)</f>
        <v>0</v>
      </c>
      <c r="L52" s="100">
        <f t="shared" si="2"/>
        <v>0.010417</v>
      </c>
      <c r="M52" s="38">
        <f>L52+Podsumowanie!E$6</f>
        <v>0.022417</v>
      </c>
      <c r="N52" s="101">
        <f>MAX(Podsumowanie!E$4+SUM(AA$5:AA51)-SUM(X$5:X52)+SUM(W$5:W52),0)</f>
        <v>181357.6981355522</v>
      </c>
      <c r="O52" s="102">
        <f>MAX(Podsumowanie!E$2+SUM(V$5:V51)-SUM(S$5:S52)+SUM(R$5:R52),0)</f>
        <v>400000</v>
      </c>
      <c r="P52" s="39">
        <f t="shared" si="58"/>
        <v>360</v>
      </c>
      <c r="Q52" s="40" t="str">
        <f>IF(AND(K52&gt;0,K52&lt;=Podsumowanie!E$9),"tak","nie")</f>
        <v>nie</v>
      </c>
      <c r="R52" s="41"/>
      <c r="S52" s="42"/>
      <c r="T52" s="88">
        <f t="shared" si="59"/>
        <v>0</v>
      </c>
      <c r="U52" s="89">
        <f>IF(Q52="tak",T52,IF(P52-SUM(AB$5:AB52)+1&gt;0,IF(Podsumowanie!E$7&lt;B52,IF(SUM(AB$5:AB52)-Podsumowanie!E$9+1&gt;0,PMT(M52/12,P52+1-SUM(AB$5:AB52),O52),T52),0),0))</f>
        <v>0</v>
      </c>
      <c r="V52" s="89">
        <f t="shared" si="60"/>
        <v>0</v>
      </c>
      <c r="W52" s="90" t="str">
        <f>IF(R52&gt;0,R52/(C52*(1-Podsumowanie!E$11))," ")</f>
        <v xml:space="preserve"> </v>
      </c>
      <c r="X52" s="90">
        <f t="shared" si="19"/>
        <v>0</v>
      </c>
      <c r="Y52" s="91">
        <f t="shared" si="3"/>
        <v>0</v>
      </c>
      <c r="Z52" s="90">
        <f>IF(P52-SUM(AB$5:AB52)+1&gt;0,IF(Podsumowanie!E$7&lt;B52,IF(SUM(AB$5:AB52)-Podsumowanie!E$9+1&gt;0,PMT(M52/12,P52+1-SUM(AB$5:AB52),N52),Y52),0),0)</f>
        <v>0</v>
      </c>
      <c r="AA52" s="90">
        <f aca="true" t="shared" si="80" ref="AA52:AA115">Z52-Y52</f>
        <v>0</v>
      </c>
      <c r="AB52" s="8" t="str">
        <f>IF(AND(Podsumowanie!E$7&lt;B52,SUM(AB$5:AB51)&lt;P51),1," ")</f>
        <v xml:space="preserve"> </v>
      </c>
      <c r="AD52" s="51">
        <f>IF(OR(B52&lt;Podsumowanie!E$12,Podsumowanie!E$12=""),-F52+S52,0)</f>
        <v>0</v>
      </c>
      <c r="AE52" s="51">
        <f t="shared" si="22"/>
        <v>0</v>
      </c>
      <c r="AG52" s="10">
        <f>Podsumowanie!E$4-SUM(AI$5:AI51)+SUM(W$42:W52)-SUM(X$42:X52)</f>
        <v>181357.6981355522</v>
      </c>
      <c r="AH52" s="10">
        <f t="shared" si="62"/>
        <v>0</v>
      </c>
      <c r="AI52" s="10">
        <f t="shared" si="63"/>
        <v>0</v>
      </c>
      <c r="AJ52" s="10">
        <f t="shared" si="64"/>
        <v>0</v>
      </c>
      <c r="AK52" s="10">
        <f t="shared" si="65"/>
        <v>0</v>
      </c>
      <c r="AL52" s="10">
        <f>Podsumowanie!E$2-SUM(AN$5:AN51)+SUM(R$42:R52)-SUM(S$42:S52)</f>
        <v>400000</v>
      </c>
      <c r="AM52" s="10">
        <f t="shared" si="66"/>
        <v>0</v>
      </c>
      <c r="AN52" s="10">
        <f t="shared" si="67"/>
        <v>0</v>
      </c>
      <c r="AO52" s="10">
        <f t="shared" si="68"/>
        <v>0</v>
      </c>
      <c r="AP52" s="10">
        <f t="shared" si="69"/>
        <v>0</v>
      </c>
      <c r="AR52" s="43">
        <f t="shared" si="70"/>
        <v>38687</v>
      </c>
      <c r="AS52" s="11">
        <f>AS$5+SUM(AV$5:AV51)-SUM(X$5:X52)+SUM(W$5:W52)</f>
        <v>175916.96719148563</v>
      </c>
      <c r="AT52" s="10">
        <f t="shared" si="71"/>
        <v>0</v>
      </c>
      <c r="AU52" s="10">
        <f>IF(AB52=1,IF(Q52="tak",AT52,PMT(M52/12,P52+1-SUM(AB$5:AB52),AS52)),0)</f>
        <v>0</v>
      </c>
      <c r="AV52" s="10">
        <f t="shared" si="72"/>
        <v>0</v>
      </c>
      <c r="AW52" s="10">
        <f t="shared" si="73"/>
        <v>0</v>
      </c>
      <c r="AY52" s="11">
        <f>AY$5+SUM(BA$5:BA51)+SUM(W$5:W51)-SUM(X$5:X51)</f>
        <v>175916.96719148563</v>
      </c>
      <c r="AZ52" s="11">
        <f t="shared" si="74"/>
        <v>0</v>
      </c>
      <c r="BA52" s="11">
        <f t="shared" si="75"/>
        <v>0</v>
      </c>
      <c r="BB52" s="11">
        <f t="shared" si="76"/>
        <v>0</v>
      </c>
      <c r="BC52" s="11">
        <f t="shared" si="77"/>
        <v>0</v>
      </c>
      <c r="BE52" s="172">
        <f t="shared" si="4"/>
        <v>0.0462</v>
      </c>
      <c r="BF52" s="44">
        <f>BE52+Podsumowanie!$E$6</f>
        <v>0.0582</v>
      </c>
      <c r="BG52" s="11">
        <f>BG$5+SUM(BH$5:BH51)+SUM(R$5:R51)-SUM(S$5:S51)</f>
        <v>400000</v>
      </c>
      <c r="BH52" s="10">
        <f aca="true" t="shared" si="81" ref="BH52:BH115">IF(BJ52&lt;0,BJ52-BI52,0)</f>
        <v>0</v>
      </c>
      <c r="BI52" s="10">
        <f t="shared" si="79"/>
        <v>0</v>
      </c>
      <c r="BJ52" s="10">
        <f>IF(U52&lt;0,PMT(BF52/12,Podsumowanie!E$8-SUM(AB$5:AB52)+1,BG52),0)</f>
        <v>0</v>
      </c>
      <c r="BL52" s="11">
        <f>BL$5+SUM(BN$5:BN51)+SUM(R$5:R51)-SUM(S$5:S51)</f>
        <v>400000</v>
      </c>
      <c r="BM52" s="11">
        <f t="shared" si="5"/>
        <v>0</v>
      </c>
      <c r="BN52" s="11">
        <f t="shared" si="6"/>
        <v>0</v>
      </c>
      <c r="BO52" s="11">
        <f t="shared" si="7"/>
        <v>0</v>
      </c>
      <c r="BQ52" s="44">
        <f t="shared" si="8"/>
        <v>0.0583</v>
      </c>
      <c r="BR52" s="11">
        <f>BR$5+SUM(BS$5:BS51)+SUM(R$5:R51)-SUM(S$5:S51)+SUM(BV$5:BV51)</f>
        <v>400000</v>
      </c>
      <c r="BS52" s="10">
        <f t="shared" si="46"/>
        <v>0</v>
      </c>
      <c r="BT52" s="10">
        <f t="shared" si="47"/>
        <v>0</v>
      </c>
      <c r="BU52" s="10">
        <f>IF(U52&lt;0,PMT(BQ52/12,Podsumowanie!E$8-SUM(AB$5:AB52)+1,BR52),0)</f>
        <v>0</v>
      </c>
      <c r="BV52" s="10">
        <f t="shared" si="41"/>
        <v>0</v>
      </c>
      <c r="BX52" s="11">
        <f>BX$5+SUM(BZ$5:BZ51)+SUM(R$5:R51)-SUM(S$5:S51)+SUM(CB$5,CB51)</f>
        <v>400000</v>
      </c>
      <c r="BY52" s="10">
        <f t="shared" si="9"/>
        <v>0</v>
      </c>
      <c r="BZ52" s="10">
        <f t="shared" si="10"/>
        <v>0</v>
      </c>
      <c r="CA52" s="10">
        <f t="shared" si="48"/>
        <v>0</v>
      </c>
      <c r="CB52" s="10">
        <f t="shared" si="49"/>
        <v>0</v>
      </c>
      <c r="CD52" s="10">
        <f>CD$5+SUM(CE$5:CE51)+SUM(R$5:R51)-SUM(S$5:S51)-SUM(CF$5:CF51)</f>
        <v>400000</v>
      </c>
      <c r="CE52" s="10">
        <f t="shared" si="42"/>
        <v>0</v>
      </c>
      <c r="CF52" s="10">
        <f t="shared" si="43"/>
        <v>0</v>
      </c>
      <c r="CG52" s="10">
        <f t="shared" si="44"/>
        <v>0</v>
      </c>
      <c r="CI52" s="44">
        <v>0.8337</v>
      </c>
      <c r="CJ52" s="10">
        <f t="shared" si="45"/>
        <v>0</v>
      </c>
      <c r="CK52" s="4">
        <f t="shared" si="50"/>
        <v>0</v>
      </c>
      <c r="CM52" s="10">
        <f t="shared" si="51"/>
        <v>0</v>
      </c>
      <c r="CN52" s="4">
        <f t="shared" si="52"/>
        <v>0</v>
      </c>
    </row>
    <row r="53" spans="1:92" ht="15.75">
      <c r="A53" s="36">
        <v>2006</v>
      </c>
      <c r="B53" s="37">
        <v>38718</v>
      </c>
      <c r="C53" s="77">
        <f t="shared" si="1"/>
        <v>2.4678</v>
      </c>
      <c r="D53" s="78">
        <f>C53*(1+Podsumowanie!E$11)</f>
        <v>2.541834</v>
      </c>
      <c r="E53" s="34">
        <f t="shared" si="53"/>
        <v>0</v>
      </c>
      <c r="F53" s="7">
        <f t="shared" si="54"/>
        <v>0</v>
      </c>
      <c r="G53" s="7">
        <f t="shared" si="55"/>
        <v>0</v>
      </c>
      <c r="H53" s="7">
        <f t="shared" si="56"/>
        <v>0</v>
      </c>
      <c r="I53" s="32"/>
      <c r="J53" s="4" t="str">
        <f t="shared" si="57"/>
        <v xml:space="preserve"> </v>
      </c>
      <c r="K53" s="4">
        <f>IF(B53&lt;Podsumowanie!E$7,0,K52+1)</f>
        <v>0</v>
      </c>
      <c r="L53" s="100">
        <f t="shared" si="2"/>
        <v>0.0101</v>
      </c>
      <c r="M53" s="38">
        <f>L53+Podsumowanie!E$6</f>
        <v>0.0221</v>
      </c>
      <c r="N53" s="101">
        <f>MAX(Podsumowanie!E$4+SUM(AA$5:AA52)-SUM(X$5:X53)+SUM(W$5:W53),0)</f>
        <v>181357.6981355522</v>
      </c>
      <c r="O53" s="102">
        <f>MAX(Podsumowanie!E$2+SUM(V$5:V52)-SUM(S$5:S53)+SUM(R$5:R53),0)</f>
        <v>400000</v>
      </c>
      <c r="P53" s="39">
        <f t="shared" si="58"/>
        <v>360</v>
      </c>
      <c r="Q53" s="40" t="str">
        <f>IF(AND(K53&gt;0,K53&lt;=Podsumowanie!E$9),"tak","nie")</f>
        <v>nie</v>
      </c>
      <c r="R53" s="41"/>
      <c r="S53" s="42"/>
      <c r="T53" s="88">
        <f t="shared" si="59"/>
        <v>0</v>
      </c>
      <c r="U53" s="89">
        <f>IF(Q53="tak",T53,IF(P53-SUM(AB$5:AB53)+1&gt;0,IF(Podsumowanie!E$7&lt;B53,IF(SUM(AB$5:AB53)-Podsumowanie!E$9+1&gt;0,PMT(M53/12,P53+1-SUM(AB$5:AB53),O53),T53),0),0))</f>
        <v>0</v>
      </c>
      <c r="V53" s="89">
        <f t="shared" si="60"/>
        <v>0</v>
      </c>
      <c r="W53" s="90" t="str">
        <f>IF(R53&gt;0,R53/(C53*(1-Podsumowanie!E$11))," ")</f>
        <v xml:space="preserve"> </v>
      </c>
      <c r="X53" s="90">
        <f t="shared" si="19"/>
        <v>0</v>
      </c>
      <c r="Y53" s="91">
        <f t="shared" si="3"/>
        <v>0</v>
      </c>
      <c r="Z53" s="90">
        <f>IF(P53-SUM(AB$5:AB53)+1&gt;0,IF(Podsumowanie!E$7&lt;B53,IF(SUM(AB$5:AB53)-Podsumowanie!E$9+1&gt;0,PMT(M53/12,P53+1-SUM(AB$5:AB53),N53),Y53),0),0)</f>
        <v>0</v>
      </c>
      <c r="AA53" s="90">
        <f t="shared" si="80"/>
        <v>0</v>
      </c>
      <c r="AB53" s="8" t="str">
        <f>IF(AND(Podsumowanie!E$7&lt;B53,SUM(AB$5:AB52)&lt;P52),1," ")</f>
        <v xml:space="preserve"> </v>
      </c>
      <c r="AD53" s="51">
        <f>IF(OR(B53&lt;Podsumowanie!E$12,Podsumowanie!E$12=""),-F53+S53,0)</f>
        <v>0</v>
      </c>
      <c r="AE53" s="51">
        <f t="shared" si="22"/>
        <v>0</v>
      </c>
      <c r="AG53" s="10">
        <f>Podsumowanie!E$4-SUM(AI$5:AI52)+SUM(W$42:W53)-SUM(X$42:X53)</f>
        <v>181357.6981355522</v>
      </c>
      <c r="AH53" s="10">
        <f t="shared" si="62"/>
        <v>0</v>
      </c>
      <c r="AI53" s="10">
        <f t="shared" si="63"/>
        <v>0</v>
      </c>
      <c r="AJ53" s="10">
        <f t="shared" si="64"/>
        <v>0</v>
      </c>
      <c r="AK53" s="10">
        <f t="shared" si="65"/>
        <v>0</v>
      </c>
      <c r="AL53" s="10">
        <f>Podsumowanie!E$2-SUM(AN$5:AN52)+SUM(R$42:R53)-SUM(S$42:S53)</f>
        <v>400000</v>
      </c>
      <c r="AM53" s="10">
        <f t="shared" si="66"/>
        <v>0</v>
      </c>
      <c r="AN53" s="10">
        <f t="shared" si="67"/>
        <v>0</v>
      </c>
      <c r="AO53" s="10">
        <f t="shared" si="68"/>
        <v>0</v>
      </c>
      <c r="AP53" s="10">
        <f t="shared" si="69"/>
        <v>0</v>
      </c>
      <c r="AR53" s="43">
        <f t="shared" si="70"/>
        <v>38718</v>
      </c>
      <c r="AS53" s="11">
        <f>AS$5+SUM(AV$5:AV52)-SUM(X$5:X53)+SUM(W$5:W53)</f>
        <v>175916.96719148563</v>
      </c>
      <c r="AT53" s="10">
        <f t="shared" si="71"/>
        <v>0</v>
      </c>
      <c r="AU53" s="10">
        <f>IF(AB53=1,IF(Q53="tak",AT53,PMT(M53/12,P53+1-SUM(AB$5:AB53),AS53)),0)</f>
        <v>0</v>
      </c>
      <c r="AV53" s="10">
        <f t="shared" si="72"/>
        <v>0</v>
      </c>
      <c r="AW53" s="10">
        <f t="shared" si="73"/>
        <v>0</v>
      </c>
      <c r="AY53" s="11">
        <f>AY$5+SUM(BA$5:BA52)+SUM(W$5:W52)-SUM(X$5:X52)</f>
        <v>175916.96719148563</v>
      </c>
      <c r="AZ53" s="11">
        <f t="shared" si="74"/>
        <v>0</v>
      </c>
      <c r="BA53" s="11">
        <f t="shared" si="75"/>
        <v>0</v>
      </c>
      <c r="BB53" s="11">
        <f t="shared" si="76"/>
        <v>0</v>
      </c>
      <c r="BC53" s="11">
        <f t="shared" si="77"/>
        <v>0</v>
      </c>
      <c r="BE53" s="172">
        <f t="shared" si="4"/>
        <v>0.0449</v>
      </c>
      <c r="BF53" s="44">
        <f>BE53+Podsumowanie!$E$6</f>
        <v>0.056900000000000006</v>
      </c>
      <c r="BG53" s="11">
        <f>BG$5+SUM(BH$5:BH52)+SUM(R$5:R52)-SUM(S$5:S52)</f>
        <v>400000</v>
      </c>
      <c r="BH53" s="10">
        <f t="shared" si="81"/>
        <v>0</v>
      </c>
      <c r="BI53" s="10">
        <f t="shared" si="79"/>
        <v>0</v>
      </c>
      <c r="BJ53" s="10">
        <f>IF(U53&lt;0,PMT(BF53/12,Podsumowanie!E$8-SUM(AB$5:AB53)+1,BG53),0)</f>
        <v>0</v>
      </c>
      <c r="BL53" s="11">
        <f>BL$5+SUM(BN$5:BN52)+SUM(R$5:R52)-SUM(S$5:S52)</f>
        <v>400000</v>
      </c>
      <c r="BM53" s="11">
        <f t="shared" si="5"/>
        <v>0</v>
      </c>
      <c r="BN53" s="11">
        <f t="shared" si="6"/>
        <v>0</v>
      </c>
      <c r="BO53" s="11">
        <f t="shared" si="7"/>
        <v>0</v>
      </c>
      <c r="BQ53" s="44">
        <f t="shared" si="8"/>
        <v>0.057</v>
      </c>
      <c r="BR53" s="11">
        <f>BR$5+SUM(BS$5:BS52)+SUM(R$5:R52)-SUM(S$5:S52)+SUM(BV$5:BV52)</f>
        <v>400000</v>
      </c>
      <c r="BS53" s="10">
        <f t="shared" si="46"/>
        <v>0</v>
      </c>
      <c r="BT53" s="10">
        <f t="shared" si="47"/>
        <v>0</v>
      </c>
      <c r="BU53" s="10">
        <f>IF(U53&lt;0,PMT(BQ53/12,Podsumowanie!E$8-SUM(AB$5:AB53)+1,BR53),0)</f>
        <v>0</v>
      </c>
      <c r="BV53" s="10">
        <f t="shared" si="41"/>
        <v>0</v>
      </c>
      <c r="BX53" s="11">
        <f>BX$5+SUM(BZ$5:BZ52)+SUM(R$5:R52)-SUM(S$5:S52)+SUM(CB$5,CB52)</f>
        <v>400000</v>
      </c>
      <c r="BY53" s="10">
        <f t="shared" si="9"/>
        <v>0</v>
      </c>
      <c r="BZ53" s="10">
        <f t="shared" si="10"/>
        <v>0</v>
      </c>
      <c r="CA53" s="10">
        <f t="shared" si="48"/>
        <v>0</v>
      </c>
      <c r="CB53" s="10">
        <f t="shared" si="49"/>
        <v>0</v>
      </c>
      <c r="CD53" s="10">
        <f>CD$5+SUM(CE$5:CE52)+SUM(R$5:R52)-SUM(S$5:S52)-SUM(CF$5:CF52)</f>
        <v>400000</v>
      </c>
      <c r="CE53" s="10">
        <f t="shared" si="42"/>
        <v>0</v>
      </c>
      <c r="CF53" s="10">
        <f t="shared" si="43"/>
        <v>0</v>
      </c>
      <c r="CG53" s="10">
        <f t="shared" si="44"/>
        <v>0</v>
      </c>
      <c r="CI53" s="44">
        <v>0.8374</v>
      </c>
      <c r="CJ53" s="10">
        <f t="shared" si="45"/>
        <v>0</v>
      </c>
      <c r="CK53" s="4">
        <f t="shared" si="50"/>
        <v>0</v>
      </c>
      <c r="CM53" s="10">
        <f t="shared" si="51"/>
        <v>0</v>
      </c>
      <c r="CN53" s="4">
        <f t="shared" si="52"/>
        <v>0</v>
      </c>
    </row>
    <row r="54" spans="1:92" ht="15.75">
      <c r="A54" s="36"/>
      <c r="B54" s="37">
        <v>38749</v>
      </c>
      <c r="C54" s="77">
        <f t="shared" si="1"/>
        <v>2.4352</v>
      </c>
      <c r="D54" s="78">
        <f>C54*(1+Podsumowanie!E$11)</f>
        <v>2.5082560000000003</v>
      </c>
      <c r="E54" s="34">
        <f t="shared" si="53"/>
        <v>0</v>
      </c>
      <c r="F54" s="7">
        <f aca="true" t="shared" si="82" ref="F54:F117">E54*D54</f>
        <v>0</v>
      </c>
      <c r="G54" s="7">
        <f t="shared" si="55"/>
        <v>0</v>
      </c>
      <c r="H54" s="7">
        <f aca="true" t="shared" si="83" ref="H54:H117">G54-F54</f>
        <v>0</v>
      </c>
      <c r="I54" s="32"/>
      <c r="J54" s="4" t="str">
        <f t="shared" si="57"/>
        <v xml:space="preserve"> </v>
      </c>
      <c r="K54" s="4">
        <f>IF(B54&lt;Podsumowanie!E$7,0,K53+1)</f>
        <v>0</v>
      </c>
      <c r="L54" s="100">
        <f t="shared" si="2"/>
        <v>0.0109</v>
      </c>
      <c r="M54" s="38">
        <f>L54+Podsumowanie!E$6</f>
        <v>0.0229</v>
      </c>
      <c r="N54" s="101">
        <f>MAX(Podsumowanie!E$4+SUM(AA$5:AA53)-SUM(X$5:X54)+SUM(W$5:W54),0)</f>
        <v>181357.6981355522</v>
      </c>
      <c r="O54" s="102">
        <f>MAX(Podsumowanie!E$2+SUM(V$5:V53)-SUM(S$5:S54)+SUM(R$5:R54),0)</f>
        <v>400000</v>
      </c>
      <c r="P54" s="39">
        <f t="shared" si="58"/>
        <v>360</v>
      </c>
      <c r="Q54" s="40" t="str">
        <f>IF(AND(K54&gt;0,K54&lt;=Podsumowanie!E$9),"tak","nie")</f>
        <v>nie</v>
      </c>
      <c r="R54" s="41"/>
      <c r="S54" s="42"/>
      <c r="T54" s="88">
        <f t="shared" si="59"/>
        <v>0</v>
      </c>
      <c r="U54" s="89">
        <f>IF(Q54="tak",T54,IF(P54-SUM(AB$5:AB54)+1&gt;0,IF(Podsumowanie!E$7&lt;B54,IF(SUM(AB$5:AB54)-Podsumowanie!E$9+1&gt;0,PMT(M54/12,P54+1-SUM(AB$5:AB54),O54),T54),0),0))</f>
        <v>0</v>
      </c>
      <c r="V54" s="89">
        <f t="shared" si="60"/>
        <v>0</v>
      </c>
      <c r="W54" s="90" t="str">
        <f>IF(R54&gt;0,R54/(C54*(1-Podsumowanie!E$11))," ")</f>
        <v xml:space="preserve"> </v>
      </c>
      <c r="X54" s="90">
        <f t="shared" si="19"/>
        <v>0</v>
      </c>
      <c r="Y54" s="91">
        <f t="shared" si="3"/>
        <v>0</v>
      </c>
      <c r="Z54" s="90">
        <f>IF(P54-SUM(AB$5:AB54)+1&gt;0,IF(Podsumowanie!E$7&lt;B54,IF(SUM(AB$5:AB54)-Podsumowanie!E$9+1&gt;0,PMT(M54/12,P54+1-SUM(AB$5:AB54),N54),Y54),0),0)</f>
        <v>0</v>
      </c>
      <c r="AA54" s="90">
        <f t="shared" si="80"/>
        <v>0</v>
      </c>
      <c r="AB54" s="8" t="str">
        <f>IF(AND(Podsumowanie!E$7&lt;B54,SUM(AB$5:AB53)&lt;P53),1," ")</f>
        <v xml:space="preserve"> </v>
      </c>
      <c r="AD54" s="51">
        <f>IF(OR(B54&lt;Podsumowanie!E$12,Podsumowanie!E$12=""),-F54+S54,0)</f>
        <v>0</v>
      </c>
      <c r="AE54" s="51">
        <f t="shared" si="22"/>
        <v>0</v>
      </c>
      <c r="AG54" s="10">
        <f>Podsumowanie!E$4-SUM(AI$5:AI53)+SUM(W$42:W54)-SUM(X$42:X54)</f>
        <v>181357.6981355522</v>
      </c>
      <c r="AH54" s="10">
        <f t="shared" si="62"/>
        <v>0</v>
      </c>
      <c r="AI54" s="10">
        <f t="shared" si="63"/>
        <v>0</v>
      </c>
      <c r="AJ54" s="10">
        <f t="shared" si="64"/>
        <v>0</v>
      </c>
      <c r="AK54" s="10">
        <f t="shared" si="65"/>
        <v>0</v>
      </c>
      <c r="AL54" s="10">
        <f>Podsumowanie!E$2-SUM(AN$5:AN53)+SUM(R$42:R54)-SUM(S$42:S54)</f>
        <v>400000</v>
      </c>
      <c r="AM54" s="10">
        <f t="shared" si="66"/>
        <v>0</v>
      </c>
      <c r="AN54" s="10">
        <f t="shared" si="67"/>
        <v>0</v>
      </c>
      <c r="AO54" s="10">
        <f t="shared" si="68"/>
        <v>0</v>
      </c>
      <c r="AP54" s="10">
        <f t="shared" si="69"/>
        <v>0</v>
      </c>
      <c r="AR54" s="43">
        <f t="shared" si="70"/>
        <v>38749</v>
      </c>
      <c r="AS54" s="11">
        <f>AS$5+SUM(AV$5:AV53)-SUM(X$5:X54)+SUM(W$5:W54)</f>
        <v>175916.96719148563</v>
      </c>
      <c r="AT54" s="10">
        <f t="shared" si="71"/>
        <v>0</v>
      </c>
      <c r="AU54" s="10">
        <f>IF(AB54=1,IF(Q54="tak",AT54,PMT(M54/12,P54+1-SUM(AB$5:AB54),AS54)),0)</f>
        <v>0</v>
      </c>
      <c r="AV54" s="10">
        <f t="shared" si="72"/>
        <v>0</v>
      </c>
      <c r="AW54" s="10">
        <f t="shared" si="73"/>
        <v>0</v>
      </c>
      <c r="AY54" s="11">
        <f>AY$5+SUM(BA$5:BA53)+SUM(W$5:W53)-SUM(X$5:X53)</f>
        <v>175916.96719148563</v>
      </c>
      <c r="AZ54" s="11">
        <f t="shared" si="74"/>
        <v>0</v>
      </c>
      <c r="BA54" s="11">
        <f t="shared" si="75"/>
        <v>0</v>
      </c>
      <c r="BB54" s="11">
        <f t="shared" si="76"/>
        <v>0</v>
      </c>
      <c r="BC54" s="11">
        <f t="shared" si="77"/>
        <v>0</v>
      </c>
      <c r="BE54" s="172">
        <f t="shared" si="4"/>
        <v>0.0426</v>
      </c>
      <c r="BF54" s="44">
        <f>BE54+Podsumowanie!$E$6</f>
        <v>0.054599999999999996</v>
      </c>
      <c r="BG54" s="11">
        <f>BG$5+SUM(BH$5:BH53)+SUM(R$5:R53)-SUM(S$5:S53)</f>
        <v>400000</v>
      </c>
      <c r="BH54" s="10">
        <f t="shared" si="81"/>
        <v>0</v>
      </c>
      <c r="BI54" s="10">
        <f t="shared" si="79"/>
        <v>0</v>
      </c>
      <c r="BJ54" s="10">
        <f>IF(U54&lt;0,PMT(BF54/12,Podsumowanie!E$8-SUM(AB$5:AB54)+1,BG54),0)</f>
        <v>0</v>
      </c>
      <c r="BL54" s="11">
        <f>BL$5+SUM(BN$5:BN53)+SUM(R$5:R53)-SUM(S$5:S53)</f>
        <v>400000</v>
      </c>
      <c r="BM54" s="11">
        <f t="shared" si="5"/>
        <v>0</v>
      </c>
      <c r="BN54" s="11">
        <f t="shared" si="6"/>
        <v>0</v>
      </c>
      <c r="BO54" s="11">
        <f t="shared" si="7"/>
        <v>0</v>
      </c>
      <c r="BQ54" s="44">
        <f t="shared" si="8"/>
        <v>0.0547</v>
      </c>
      <c r="BR54" s="11">
        <f>BR$5+SUM(BS$5:BS53)+SUM(R$5:R53)-SUM(S$5:S53)+SUM(BV$5:BV53)</f>
        <v>400000</v>
      </c>
      <c r="BS54" s="10">
        <f t="shared" si="46"/>
        <v>0</v>
      </c>
      <c r="BT54" s="10">
        <f t="shared" si="47"/>
        <v>0</v>
      </c>
      <c r="BU54" s="10">
        <f>IF(U54&lt;0,PMT(BQ54/12,Podsumowanie!E$8-SUM(AB$5:AB54)+1,BR54),0)</f>
        <v>0</v>
      </c>
      <c r="BV54" s="10">
        <f t="shared" si="41"/>
        <v>0</v>
      </c>
      <c r="BX54" s="11">
        <f>BX$5+SUM(BZ$5:BZ53)+SUM(R$5:R53)-SUM(S$5:S53)+SUM(CB$5,CB53)</f>
        <v>400000</v>
      </c>
      <c r="BY54" s="10">
        <f t="shared" si="9"/>
        <v>0</v>
      </c>
      <c r="BZ54" s="10">
        <f t="shared" si="10"/>
        <v>0</v>
      </c>
      <c r="CA54" s="10">
        <f t="shared" si="48"/>
        <v>0</v>
      </c>
      <c r="CB54" s="10">
        <f t="shared" si="49"/>
        <v>0</v>
      </c>
      <c r="CD54" s="10">
        <f>CD$5+SUM(CE$5:CE53)+SUM(R$5:R53)-SUM(S$5:S53)-SUM(CF$5:CF53)</f>
        <v>400000</v>
      </c>
      <c r="CE54" s="10">
        <f t="shared" si="42"/>
        <v>0</v>
      </c>
      <c r="CF54" s="10">
        <f t="shared" si="43"/>
        <v>0</v>
      </c>
      <c r="CG54" s="10">
        <f t="shared" si="44"/>
        <v>0</v>
      </c>
      <c r="CI54" s="44">
        <v>0.8337</v>
      </c>
      <c r="CJ54" s="10">
        <f t="shared" si="45"/>
        <v>0</v>
      </c>
      <c r="CK54" s="4">
        <f t="shared" si="50"/>
        <v>0</v>
      </c>
      <c r="CM54" s="10">
        <f t="shared" si="51"/>
        <v>0</v>
      </c>
      <c r="CN54" s="4">
        <f t="shared" si="52"/>
        <v>0</v>
      </c>
    </row>
    <row r="55" spans="1:92" ht="15.75">
      <c r="A55" s="36"/>
      <c r="B55" s="37">
        <v>38777</v>
      </c>
      <c r="C55" s="77">
        <f t="shared" si="1"/>
        <v>2.4696</v>
      </c>
      <c r="D55" s="78">
        <f>C55*(1+Podsumowanie!E$11)</f>
        <v>2.543688</v>
      </c>
      <c r="E55" s="34">
        <f t="shared" si="53"/>
        <v>0</v>
      </c>
      <c r="F55" s="7">
        <f t="shared" si="82"/>
        <v>0</v>
      </c>
      <c r="G55" s="7">
        <f t="shared" si="55"/>
        <v>0</v>
      </c>
      <c r="H55" s="7">
        <f t="shared" si="83"/>
        <v>0</v>
      </c>
      <c r="I55" s="32"/>
      <c r="J55" s="4" t="str">
        <f t="shared" si="57"/>
        <v xml:space="preserve"> </v>
      </c>
      <c r="K55" s="4">
        <f>IF(B55&lt;Podsumowanie!E$7,0,K54+1)</f>
        <v>0</v>
      </c>
      <c r="L55" s="100">
        <f t="shared" si="2"/>
        <v>0.0121</v>
      </c>
      <c r="M55" s="38">
        <f>L55+Podsumowanie!E$6</f>
        <v>0.0241</v>
      </c>
      <c r="N55" s="101">
        <f>MAX(Podsumowanie!E$4+SUM(AA$5:AA54)-SUM(X$5:X55)+SUM(W$5:W55),0)</f>
        <v>181357.6981355522</v>
      </c>
      <c r="O55" s="102">
        <f>MAX(Podsumowanie!E$2+SUM(V$5:V54)-SUM(S$5:S55)+SUM(R$5:R55),0)</f>
        <v>400000</v>
      </c>
      <c r="P55" s="39">
        <f t="shared" si="58"/>
        <v>360</v>
      </c>
      <c r="Q55" s="40" t="str">
        <f>IF(AND(K55&gt;0,K55&lt;=Podsumowanie!E$9),"tak","nie")</f>
        <v>nie</v>
      </c>
      <c r="R55" s="41"/>
      <c r="S55" s="42"/>
      <c r="T55" s="88">
        <f t="shared" si="59"/>
        <v>0</v>
      </c>
      <c r="U55" s="89">
        <f>IF(Q55="tak",T55,IF(P55-SUM(AB$5:AB55)+1&gt;0,IF(Podsumowanie!E$7&lt;B55,IF(SUM(AB$5:AB55)-Podsumowanie!E$9+1&gt;0,PMT(M55/12,P55+1-SUM(AB$5:AB55),O55),T55),0),0))</f>
        <v>0</v>
      </c>
      <c r="V55" s="89">
        <f t="shared" si="60"/>
        <v>0</v>
      </c>
      <c r="W55" s="90" t="str">
        <f>IF(R55&gt;0,R55/(C55*(1-Podsumowanie!E$11))," ")</f>
        <v xml:space="preserve"> </v>
      </c>
      <c r="X55" s="90">
        <f t="shared" si="19"/>
        <v>0</v>
      </c>
      <c r="Y55" s="91">
        <f t="shared" si="3"/>
        <v>0</v>
      </c>
      <c r="Z55" s="90">
        <f>IF(P55-SUM(AB$5:AB55)+1&gt;0,IF(Podsumowanie!E$7&lt;B55,IF(SUM(AB$5:AB55)-Podsumowanie!E$9+1&gt;0,PMT(M55/12,P55+1-SUM(AB$5:AB55),N55),Y55),0),0)</f>
        <v>0</v>
      </c>
      <c r="AA55" s="90">
        <f t="shared" si="80"/>
        <v>0</v>
      </c>
      <c r="AB55" s="8" t="str">
        <f>IF(AND(Podsumowanie!E$7&lt;B55,SUM(AB$5:AB54)&lt;P54),1," ")</f>
        <v xml:space="preserve"> </v>
      </c>
      <c r="AD55" s="51">
        <f>IF(OR(B55&lt;Podsumowanie!E$12,Podsumowanie!E$12=""),-F55+S55,0)</f>
        <v>0</v>
      </c>
      <c r="AE55" s="51">
        <f t="shared" si="22"/>
        <v>0</v>
      </c>
      <c r="AG55" s="10">
        <f>Podsumowanie!E$4-SUM(AI$5:AI54)+SUM(W$42:W55)-SUM(X$42:X55)</f>
        <v>181357.6981355522</v>
      </c>
      <c r="AH55" s="10">
        <f t="shared" si="62"/>
        <v>0</v>
      </c>
      <c r="AI55" s="10">
        <f t="shared" si="63"/>
        <v>0</v>
      </c>
      <c r="AJ55" s="10">
        <f t="shared" si="64"/>
        <v>0</v>
      </c>
      <c r="AK55" s="10">
        <f t="shared" si="65"/>
        <v>0</v>
      </c>
      <c r="AL55" s="10">
        <f>Podsumowanie!E$2-SUM(AN$5:AN54)+SUM(R$42:R55)-SUM(S$42:S55)</f>
        <v>400000</v>
      </c>
      <c r="AM55" s="10">
        <f t="shared" si="66"/>
        <v>0</v>
      </c>
      <c r="AN55" s="10">
        <f t="shared" si="67"/>
        <v>0</v>
      </c>
      <c r="AO55" s="10">
        <f t="shared" si="68"/>
        <v>0</v>
      </c>
      <c r="AP55" s="10">
        <f t="shared" si="69"/>
        <v>0</v>
      </c>
      <c r="AR55" s="43">
        <f t="shared" si="70"/>
        <v>38777</v>
      </c>
      <c r="AS55" s="11">
        <f>AS$5+SUM(AV$5:AV54)-SUM(X$5:X55)+SUM(W$5:W55)</f>
        <v>175916.96719148563</v>
      </c>
      <c r="AT55" s="10">
        <f t="shared" si="71"/>
        <v>0</v>
      </c>
      <c r="AU55" s="10">
        <f>IF(AB55=1,IF(Q55="tak",AT55,PMT(M55/12,P55+1-SUM(AB$5:AB55),AS55)),0)</f>
        <v>0</v>
      </c>
      <c r="AV55" s="10">
        <f t="shared" si="72"/>
        <v>0</v>
      </c>
      <c r="AW55" s="10">
        <f t="shared" si="73"/>
        <v>0</v>
      </c>
      <c r="AY55" s="11">
        <f>AY$5+SUM(BA$5:BA54)+SUM(W$5:W54)-SUM(X$5:X54)</f>
        <v>175916.96719148563</v>
      </c>
      <c r="AZ55" s="11">
        <f t="shared" si="74"/>
        <v>0</v>
      </c>
      <c r="BA55" s="11">
        <f t="shared" si="75"/>
        <v>0</v>
      </c>
      <c r="BB55" s="11">
        <f t="shared" si="76"/>
        <v>0</v>
      </c>
      <c r="BC55" s="11">
        <f t="shared" si="77"/>
        <v>0</v>
      </c>
      <c r="BE55" s="172">
        <f t="shared" si="4"/>
        <v>0.0412</v>
      </c>
      <c r="BF55" s="44">
        <f>BE55+Podsumowanie!$E$6</f>
        <v>0.0532</v>
      </c>
      <c r="BG55" s="11">
        <f>BG$5+SUM(BH$5:BH54)+SUM(R$5:R54)-SUM(S$5:S54)</f>
        <v>400000</v>
      </c>
      <c r="BH55" s="10">
        <f t="shared" si="81"/>
        <v>0</v>
      </c>
      <c r="BI55" s="10">
        <f t="shared" si="79"/>
        <v>0</v>
      </c>
      <c r="BJ55" s="10">
        <f>IF(U55&lt;0,PMT(BF55/12,Podsumowanie!E$8-SUM(AB$5:AB55)+1,BG55),0)</f>
        <v>0</v>
      </c>
      <c r="BL55" s="11">
        <f>BL$5+SUM(BN$5:BN54)+SUM(R$5:R54)-SUM(S$5:S54)</f>
        <v>400000</v>
      </c>
      <c r="BM55" s="11">
        <f t="shared" si="5"/>
        <v>0</v>
      </c>
      <c r="BN55" s="11">
        <f t="shared" si="6"/>
        <v>0</v>
      </c>
      <c r="BO55" s="11">
        <f t="shared" si="7"/>
        <v>0</v>
      </c>
      <c r="BQ55" s="44">
        <f t="shared" si="8"/>
        <v>0.0533</v>
      </c>
      <c r="BR55" s="11">
        <f>BR$5+SUM(BS$5:BS54)+SUM(R$5:R54)-SUM(S$5:S54)+SUM(BV$5:BV54)</f>
        <v>400000</v>
      </c>
      <c r="BS55" s="10">
        <f t="shared" si="46"/>
        <v>0</v>
      </c>
      <c r="BT55" s="10">
        <f t="shared" si="47"/>
        <v>0</v>
      </c>
      <c r="BU55" s="10">
        <f>IF(U55&lt;0,PMT(BQ55/12,Podsumowanie!E$8-SUM(AB$5:AB55)+1,BR55),0)</f>
        <v>0</v>
      </c>
      <c r="BV55" s="10">
        <f t="shared" si="41"/>
        <v>0</v>
      </c>
      <c r="BX55" s="11">
        <f>BX$5+SUM(BZ$5:BZ54)+SUM(R$5:R54)-SUM(S$5:S54)+SUM(CB$5,CB54)</f>
        <v>400000</v>
      </c>
      <c r="BY55" s="10">
        <f t="shared" si="9"/>
        <v>0</v>
      </c>
      <c r="BZ55" s="10">
        <f t="shared" si="10"/>
        <v>0</v>
      </c>
      <c r="CA55" s="10">
        <f t="shared" si="48"/>
        <v>0</v>
      </c>
      <c r="CB55" s="10">
        <f t="shared" si="49"/>
        <v>0</v>
      </c>
      <c r="CD55" s="10">
        <f>CD$5+SUM(CE$5:CE54)+SUM(R$5:R54)-SUM(S$5:S54)-SUM(CF$5:CF54)</f>
        <v>400000</v>
      </c>
      <c r="CE55" s="10">
        <f t="shared" si="42"/>
        <v>0</v>
      </c>
      <c r="CF55" s="10">
        <f t="shared" si="43"/>
        <v>0</v>
      </c>
      <c r="CG55" s="10">
        <f t="shared" si="44"/>
        <v>0</v>
      </c>
      <c r="CI55" s="44">
        <v>0.8337</v>
      </c>
      <c r="CJ55" s="10">
        <f t="shared" si="45"/>
        <v>0</v>
      </c>
      <c r="CK55" s="4">
        <f t="shared" si="50"/>
        <v>0</v>
      </c>
      <c r="CM55" s="10">
        <f t="shared" si="51"/>
        <v>0</v>
      </c>
      <c r="CN55" s="4">
        <f t="shared" si="52"/>
        <v>0</v>
      </c>
    </row>
    <row r="56" spans="1:92" ht="15.75">
      <c r="A56" s="36"/>
      <c r="B56" s="37">
        <v>38808</v>
      </c>
      <c r="C56" s="77">
        <f t="shared" si="1"/>
        <v>2.4886</v>
      </c>
      <c r="D56" s="78">
        <f>C56*(1+Podsumowanie!E$11)</f>
        <v>2.563258</v>
      </c>
      <c r="E56" s="34">
        <f t="shared" si="53"/>
        <v>0</v>
      </c>
      <c r="F56" s="7">
        <f t="shared" si="82"/>
        <v>0</v>
      </c>
      <c r="G56" s="7">
        <f t="shared" si="55"/>
        <v>0</v>
      </c>
      <c r="H56" s="7">
        <f t="shared" si="83"/>
        <v>0</v>
      </c>
      <c r="I56" s="32"/>
      <c r="J56" s="4" t="str">
        <f t="shared" si="57"/>
        <v xml:space="preserve"> </v>
      </c>
      <c r="K56" s="4">
        <f>IF(B56&lt;Podsumowanie!E$7,0,K55+1)</f>
        <v>0</v>
      </c>
      <c r="L56" s="100">
        <f t="shared" si="2"/>
        <v>0.0128</v>
      </c>
      <c r="M56" s="38">
        <f>L56+Podsumowanie!E$6</f>
        <v>0.024800000000000003</v>
      </c>
      <c r="N56" s="101">
        <f>MAX(Podsumowanie!E$4+SUM(AA$5:AA55)-SUM(X$5:X56)+SUM(W$5:W56),0)</f>
        <v>181357.6981355522</v>
      </c>
      <c r="O56" s="102">
        <f>MAX(Podsumowanie!E$2+SUM(V$5:V55)-SUM(S$5:S56)+SUM(R$5:R56),0)</f>
        <v>400000</v>
      </c>
      <c r="P56" s="39">
        <f t="shared" si="58"/>
        <v>360</v>
      </c>
      <c r="Q56" s="40" t="str">
        <f>IF(AND(K56&gt;0,K56&lt;=Podsumowanie!E$9),"tak","nie")</f>
        <v>nie</v>
      </c>
      <c r="R56" s="41"/>
      <c r="S56" s="42"/>
      <c r="T56" s="88">
        <f t="shared" si="59"/>
        <v>0</v>
      </c>
      <c r="U56" s="89">
        <f>IF(Q56="tak",T56,IF(P56-SUM(AB$5:AB56)+1&gt;0,IF(Podsumowanie!E$7&lt;B56,IF(SUM(AB$5:AB56)-Podsumowanie!E$9+1&gt;0,PMT(M56/12,P56+1-SUM(AB$5:AB56),O56),T56),0),0))</f>
        <v>0</v>
      </c>
      <c r="V56" s="89">
        <f t="shared" si="60"/>
        <v>0</v>
      </c>
      <c r="W56" s="90" t="str">
        <f>IF(R56&gt;0,R56/(C56*(1-Podsumowanie!E$11))," ")</f>
        <v xml:space="preserve"> </v>
      </c>
      <c r="X56" s="90">
        <f t="shared" si="19"/>
        <v>0</v>
      </c>
      <c r="Y56" s="91">
        <f t="shared" si="3"/>
        <v>0</v>
      </c>
      <c r="Z56" s="90">
        <f>IF(P56-SUM(AB$5:AB56)+1&gt;0,IF(Podsumowanie!E$7&lt;B56,IF(SUM(AB$5:AB56)-Podsumowanie!E$9+1&gt;0,PMT(M56/12,P56+1-SUM(AB$5:AB56),N56),Y56),0),0)</f>
        <v>0</v>
      </c>
      <c r="AA56" s="90">
        <f t="shared" si="80"/>
        <v>0</v>
      </c>
      <c r="AB56" s="8" t="str">
        <f>IF(AND(Podsumowanie!E$7&lt;B56,SUM(AB$5:AB55)&lt;P55),1," ")</f>
        <v xml:space="preserve"> </v>
      </c>
      <c r="AD56" s="51">
        <f>IF(OR(B56&lt;Podsumowanie!E$12,Podsumowanie!E$12=""),-F56+S56,0)</f>
        <v>0</v>
      </c>
      <c r="AE56" s="51">
        <f t="shared" si="22"/>
        <v>0</v>
      </c>
      <c r="AG56" s="10">
        <f>Podsumowanie!E$4-SUM(AI$5:AI55)+SUM(W$42:W56)-SUM(X$42:X56)</f>
        <v>181357.6981355522</v>
      </c>
      <c r="AH56" s="10">
        <f t="shared" si="62"/>
        <v>0</v>
      </c>
      <c r="AI56" s="10">
        <f t="shared" si="63"/>
        <v>0</v>
      </c>
      <c r="AJ56" s="10">
        <f t="shared" si="64"/>
        <v>0</v>
      </c>
      <c r="AK56" s="10">
        <f t="shared" si="65"/>
        <v>0</v>
      </c>
      <c r="AL56" s="10">
        <f>Podsumowanie!E$2-SUM(AN$5:AN55)+SUM(R$42:R56)-SUM(S$42:S56)</f>
        <v>400000</v>
      </c>
      <c r="AM56" s="10">
        <f t="shared" si="66"/>
        <v>0</v>
      </c>
      <c r="AN56" s="10">
        <f t="shared" si="67"/>
        <v>0</v>
      </c>
      <c r="AO56" s="10">
        <f t="shared" si="68"/>
        <v>0</v>
      </c>
      <c r="AP56" s="10">
        <f t="shared" si="69"/>
        <v>0</v>
      </c>
      <c r="AR56" s="43">
        <f t="shared" si="70"/>
        <v>38808</v>
      </c>
      <c r="AS56" s="11">
        <f>AS$5+SUM(AV$5:AV55)-SUM(X$5:X56)+SUM(W$5:W56)</f>
        <v>175916.96719148563</v>
      </c>
      <c r="AT56" s="10">
        <f t="shared" si="71"/>
        <v>0</v>
      </c>
      <c r="AU56" s="10">
        <f>IF(AB56=1,IF(Q56="tak",AT56,PMT(M56/12,P56+1-SUM(AB$5:AB56),AS56)),0)</f>
        <v>0</v>
      </c>
      <c r="AV56" s="10">
        <f t="shared" si="72"/>
        <v>0</v>
      </c>
      <c r="AW56" s="10">
        <f t="shared" si="73"/>
        <v>0</v>
      </c>
      <c r="AY56" s="11">
        <f>AY$5+SUM(BA$5:BA55)+SUM(W$5:W55)-SUM(X$5:X55)</f>
        <v>175916.96719148563</v>
      </c>
      <c r="AZ56" s="11">
        <f t="shared" si="74"/>
        <v>0</v>
      </c>
      <c r="BA56" s="11">
        <f t="shared" si="75"/>
        <v>0</v>
      </c>
      <c r="BB56" s="11">
        <f t="shared" si="76"/>
        <v>0</v>
      </c>
      <c r="BC56" s="11">
        <f t="shared" si="77"/>
        <v>0</v>
      </c>
      <c r="BE56" s="172">
        <f t="shared" si="4"/>
        <v>0.0414</v>
      </c>
      <c r="BF56" s="44">
        <f>BE56+Podsumowanie!$E$6</f>
        <v>0.0534</v>
      </c>
      <c r="BG56" s="11">
        <f>BG$5+SUM(BH$5:BH55)+SUM(R$5:R55)-SUM(S$5:S55)</f>
        <v>400000</v>
      </c>
      <c r="BH56" s="10">
        <f t="shared" si="81"/>
        <v>0</v>
      </c>
      <c r="BI56" s="10">
        <f t="shared" si="79"/>
        <v>0</v>
      </c>
      <c r="BJ56" s="10">
        <f>IF(U56&lt;0,PMT(BF56/12,Podsumowanie!E$8-SUM(AB$5:AB56)+1,BG56),0)</f>
        <v>0</v>
      </c>
      <c r="BL56" s="11">
        <f>BL$5+SUM(BN$5:BN55)+SUM(R$5:R55)-SUM(S$5:S55)</f>
        <v>400000</v>
      </c>
      <c r="BM56" s="11">
        <f t="shared" si="5"/>
        <v>0</v>
      </c>
      <c r="BN56" s="11">
        <f t="shared" si="6"/>
        <v>0</v>
      </c>
      <c r="BO56" s="11">
        <f t="shared" si="7"/>
        <v>0</v>
      </c>
      <c r="BQ56" s="44">
        <f t="shared" si="8"/>
        <v>0.0535</v>
      </c>
      <c r="BR56" s="11">
        <f>BR$5+SUM(BS$5:BS55)+SUM(R$5:R55)-SUM(S$5:S55)+SUM(BV$5:BV55)</f>
        <v>400000</v>
      </c>
      <c r="BS56" s="10">
        <f t="shared" si="46"/>
        <v>0</v>
      </c>
      <c r="BT56" s="10">
        <f t="shared" si="47"/>
        <v>0</v>
      </c>
      <c r="BU56" s="10">
        <f>IF(U56&lt;0,PMT(BQ56/12,Podsumowanie!E$8-SUM(AB$5:AB56)+1,BR56),0)</f>
        <v>0</v>
      </c>
      <c r="BV56" s="10">
        <f t="shared" si="41"/>
        <v>0</v>
      </c>
      <c r="BX56" s="11">
        <f>BX$5+SUM(BZ$5:BZ55)+SUM(R$5:R55)-SUM(S$5:S55)+SUM(CB$5,CB55)</f>
        <v>400000</v>
      </c>
      <c r="BY56" s="10">
        <f t="shared" si="9"/>
        <v>0</v>
      </c>
      <c r="BZ56" s="10">
        <f t="shared" si="10"/>
        <v>0</v>
      </c>
      <c r="CA56" s="10">
        <f t="shared" si="48"/>
        <v>0</v>
      </c>
      <c r="CB56" s="10">
        <f t="shared" si="49"/>
        <v>0</v>
      </c>
      <c r="CD56" s="10">
        <f>CD$5+SUM(CE$5:CE55)+SUM(R$5:R55)-SUM(S$5:S55)-SUM(CF$5:CF55)</f>
        <v>400000</v>
      </c>
      <c r="CE56" s="10">
        <f t="shared" si="42"/>
        <v>0</v>
      </c>
      <c r="CF56" s="10">
        <f t="shared" si="43"/>
        <v>0</v>
      </c>
      <c r="CG56" s="10">
        <f t="shared" si="44"/>
        <v>0</v>
      </c>
      <c r="CI56" s="44">
        <v>0.8356</v>
      </c>
      <c r="CJ56" s="10">
        <f t="shared" si="45"/>
        <v>0</v>
      </c>
      <c r="CK56" s="4">
        <f t="shared" si="50"/>
        <v>0</v>
      </c>
      <c r="CM56" s="10">
        <f t="shared" si="51"/>
        <v>0</v>
      </c>
      <c r="CN56" s="4">
        <f t="shared" si="52"/>
        <v>0</v>
      </c>
    </row>
    <row r="57" spans="1:92" ht="15.75">
      <c r="A57" s="36"/>
      <c r="B57" s="37">
        <v>38838</v>
      </c>
      <c r="C57" s="77">
        <f t="shared" si="1"/>
        <v>2.501</v>
      </c>
      <c r="D57" s="78">
        <f>C57*(1+Podsumowanie!E$11)</f>
        <v>2.57603</v>
      </c>
      <c r="E57" s="34">
        <f t="shared" si="53"/>
        <v>0</v>
      </c>
      <c r="F57" s="7">
        <f t="shared" si="82"/>
        <v>0</v>
      </c>
      <c r="G57" s="7">
        <f t="shared" si="55"/>
        <v>0</v>
      </c>
      <c r="H57" s="7">
        <f t="shared" si="83"/>
        <v>0</v>
      </c>
      <c r="I57" s="32"/>
      <c r="J57" s="4" t="str">
        <f t="shared" si="57"/>
        <v xml:space="preserve"> </v>
      </c>
      <c r="K57" s="4">
        <f>IF(B57&lt;Podsumowanie!E$7,0,K56+1)</f>
        <v>0</v>
      </c>
      <c r="L57" s="100">
        <f t="shared" si="2"/>
        <v>0.0141</v>
      </c>
      <c r="M57" s="38">
        <f>L57+Podsumowanie!E$6</f>
        <v>0.026099999999999998</v>
      </c>
      <c r="N57" s="101">
        <f>MAX(Podsumowanie!E$4+SUM(AA$5:AA56)-SUM(X$5:X57)+SUM(W$5:W57),0)</f>
        <v>181357.6981355522</v>
      </c>
      <c r="O57" s="102">
        <f>MAX(Podsumowanie!E$2+SUM(V$5:V56)-SUM(S$5:S57)+SUM(R$5:R57),0)</f>
        <v>400000</v>
      </c>
      <c r="P57" s="39">
        <f t="shared" si="58"/>
        <v>360</v>
      </c>
      <c r="Q57" s="40" t="str">
        <f>IF(AND(K57&gt;0,K57&lt;=Podsumowanie!E$9),"tak","nie")</f>
        <v>nie</v>
      </c>
      <c r="R57" s="41"/>
      <c r="S57" s="42"/>
      <c r="T57" s="88">
        <f t="shared" si="59"/>
        <v>0</v>
      </c>
      <c r="U57" s="89">
        <f>IF(Q57="tak",T57,IF(P57-SUM(AB$5:AB57)+1&gt;0,IF(Podsumowanie!E$7&lt;B57,IF(SUM(AB$5:AB57)-Podsumowanie!E$9+1&gt;0,PMT(M57/12,P57+1-SUM(AB$5:AB57),O57),T57),0),0))</f>
        <v>0</v>
      </c>
      <c r="V57" s="89">
        <f aca="true" t="shared" si="84" ref="V57:V120">U57-T57</f>
        <v>0</v>
      </c>
      <c r="W57" s="90" t="str">
        <f>IF(R57&gt;0,R57/(C57*(1-Podsumowanie!E$11))," ")</f>
        <v xml:space="preserve"> </v>
      </c>
      <c r="X57" s="90">
        <f t="shared" si="19"/>
        <v>0</v>
      </c>
      <c r="Y57" s="91">
        <f t="shared" si="3"/>
        <v>0</v>
      </c>
      <c r="Z57" s="90">
        <f>IF(P57-SUM(AB$5:AB57)+1&gt;0,IF(Podsumowanie!E$7&lt;B57,IF(SUM(AB$5:AB57)-Podsumowanie!E$9+1&gt;0,PMT(M57/12,P57+1-SUM(AB$5:AB57),N57),Y57),0),0)</f>
        <v>0</v>
      </c>
      <c r="AA57" s="90">
        <f t="shared" si="80"/>
        <v>0</v>
      </c>
      <c r="AB57" s="8" t="str">
        <f>IF(AND(Podsumowanie!E$7&lt;B57,SUM(AB$5:AB56)&lt;P56),1," ")</f>
        <v xml:space="preserve"> </v>
      </c>
      <c r="AD57" s="51">
        <f>IF(OR(B57&lt;Podsumowanie!E$12,Podsumowanie!E$12=""),-F57+S57,0)</f>
        <v>0</v>
      </c>
      <c r="AE57" s="51">
        <f t="shared" si="22"/>
        <v>0</v>
      </c>
      <c r="AG57" s="10">
        <f>Podsumowanie!E$4-SUM(AI$5:AI56)+SUM(W$42:W57)-SUM(X$42:X57)</f>
        <v>181357.6981355522</v>
      </c>
      <c r="AH57" s="10">
        <f t="shared" si="62"/>
        <v>0</v>
      </c>
      <c r="AI57" s="10">
        <f t="shared" si="63"/>
        <v>0</v>
      </c>
      <c r="AJ57" s="10">
        <f t="shared" si="64"/>
        <v>0</v>
      </c>
      <c r="AK57" s="10">
        <f t="shared" si="65"/>
        <v>0</v>
      </c>
      <c r="AL57" s="10">
        <f>Podsumowanie!E$2-SUM(AN$5:AN56)+SUM(R$42:R57)-SUM(S$42:S57)</f>
        <v>400000</v>
      </c>
      <c r="AM57" s="10">
        <f t="shared" si="66"/>
        <v>0</v>
      </c>
      <c r="AN57" s="10">
        <f t="shared" si="67"/>
        <v>0</v>
      </c>
      <c r="AO57" s="10">
        <f t="shared" si="68"/>
        <v>0</v>
      </c>
      <c r="AP57" s="10">
        <f t="shared" si="69"/>
        <v>0</v>
      </c>
      <c r="AR57" s="43">
        <f t="shared" si="70"/>
        <v>38838</v>
      </c>
      <c r="AS57" s="11">
        <f>AS$5+SUM(AV$5:AV56)-SUM(X$5:X57)+SUM(W$5:W57)</f>
        <v>175916.96719148563</v>
      </c>
      <c r="AT57" s="10">
        <f t="shared" si="71"/>
        <v>0</v>
      </c>
      <c r="AU57" s="10">
        <f>IF(AB57=1,IF(Q57="tak",AT57,PMT(M57/12,P57+1-SUM(AB$5:AB57),AS57)),0)</f>
        <v>0</v>
      </c>
      <c r="AV57" s="10">
        <f t="shared" si="72"/>
        <v>0</v>
      </c>
      <c r="AW57" s="10">
        <f t="shared" si="73"/>
        <v>0</v>
      </c>
      <c r="AY57" s="11">
        <f>AY$5+SUM(BA$5:BA56)+SUM(W$5:W56)-SUM(X$5:X56)</f>
        <v>175916.96719148563</v>
      </c>
      <c r="AZ57" s="11">
        <f t="shared" si="74"/>
        <v>0</v>
      </c>
      <c r="BA57" s="11">
        <f t="shared" si="75"/>
        <v>0</v>
      </c>
      <c r="BB57" s="11">
        <f t="shared" si="76"/>
        <v>0</v>
      </c>
      <c r="BC57" s="11">
        <f t="shared" si="77"/>
        <v>0</v>
      </c>
      <c r="BE57" s="172">
        <f t="shared" si="4"/>
        <v>0.0415</v>
      </c>
      <c r="BF57" s="44">
        <f>BE57+Podsumowanie!$E$6</f>
        <v>0.053500000000000006</v>
      </c>
      <c r="BG57" s="11">
        <f>BG$5+SUM(BH$5:BH56)+SUM(R$5:R56)-SUM(S$5:S56)</f>
        <v>400000</v>
      </c>
      <c r="BH57" s="10">
        <f t="shared" si="81"/>
        <v>0</v>
      </c>
      <c r="BI57" s="10">
        <f t="shared" si="79"/>
        <v>0</v>
      </c>
      <c r="BJ57" s="10">
        <f>IF(U57&lt;0,PMT(BF57/12,Podsumowanie!E$8-SUM(AB$5:AB57)+1,BG57),0)</f>
        <v>0</v>
      </c>
      <c r="BL57" s="11">
        <f>BL$5+SUM(BN$5:BN56)+SUM(R$5:R56)-SUM(S$5:S56)</f>
        <v>400000</v>
      </c>
      <c r="BM57" s="11">
        <f t="shared" si="5"/>
        <v>0</v>
      </c>
      <c r="BN57" s="11">
        <f t="shared" si="6"/>
        <v>0</v>
      </c>
      <c r="BO57" s="11">
        <f t="shared" si="7"/>
        <v>0</v>
      </c>
      <c r="BQ57" s="44">
        <f t="shared" si="8"/>
        <v>0.0536</v>
      </c>
      <c r="BR57" s="11">
        <f>BR$5+SUM(BS$5:BS56)+SUM(R$5:R56)-SUM(S$5:S56)+SUM(BV$5:BV56)</f>
        <v>400000</v>
      </c>
      <c r="BS57" s="10">
        <f t="shared" si="46"/>
        <v>0</v>
      </c>
      <c r="BT57" s="10">
        <f t="shared" si="47"/>
        <v>0</v>
      </c>
      <c r="BU57" s="10">
        <f>IF(U57&lt;0,PMT(BQ57/12,Podsumowanie!E$8-SUM(AB$5:AB57)+1,BR57),0)</f>
        <v>0</v>
      </c>
      <c r="BV57" s="10">
        <f t="shared" si="41"/>
        <v>0</v>
      </c>
      <c r="BX57" s="11">
        <f>BX$5+SUM(BZ$5:BZ56)+SUM(R$5:R56)-SUM(S$5:S56)+SUM(CB$5,CB56)</f>
        <v>400000</v>
      </c>
      <c r="BY57" s="10">
        <f t="shared" si="9"/>
        <v>0</v>
      </c>
      <c r="BZ57" s="10">
        <f t="shared" si="10"/>
        <v>0</v>
      </c>
      <c r="CA57" s="10">
        <f t="shared" si="48"/>
        <v>0</v>
      </c>
      <c r="CB57" s="10">
        <f t="shared" si="49"/>
        <v>0</v>
      </c>
      <c r="CD57" s="10">
        <f>CD$5+SUM(CE$5:CE56)+SUM(R$5:R56)-SUM(S$5:S56)-SUM(CF$5:CF56)</f>
        <v>400000</v>
      </c>
      <c r="CE57" s="10">
        <f t="shared" si="42"/>
        <v>0</v>
      </c>
      <c r="CF57" s="10">
        <f t="shared" si="43"/>
        <v>0</v>
      </c>
      <c r="CG57" s="10">
        <f t="shared" si="44"/>
        <v>0</v>
      </c>
      <c r="CI57" s="44">
        <v>0.8228</v>
      </c>
      <c r="CJ57" s="10">
        <f t="shared" si="45"/>
        <v>0</v>
      </c>
      <c r="CK57" s="4">
        <f t="shared" si="50"/>
        <v>0</v>
      </c>
      <c r="CM57" s="10">
        <f t="shared" si="51"/>
        <v>0</v>
      </c>
      <c r="CN57" s="4">
        <f t="shared" si="52"/>
        <v>0</v>
      </c>
    </row>
    <row r="58" spans="1:92" ht="15.75">
      <c r="A58" s="36"/>
      <c r="B58" s="37">
        <v>38869</v>
      </c>
      <c r="C58" s="77">
        <f t="shared" si="1"/>
        <v>2.5742</v>
      </c>
      <c r="D58" s="78">
        <f>C58*(1+Podsumowanie!E$11)</f>
        <v>2.651426</v>
      </c>
      <c r="E58" s="34">
        <f t="shared" si="53"/>
        <v>0</v>
      </c>
      <c r="F58" s="7">
        <f t="shared" si="82"/>
        <v>0</v>
      </c>
      <c r="G58" s="7">
        <f t="shared" si="55"/>
        <v>0</v>
      </c>
      <c r="H58" s="7">
        <f t="shared" si="83"/>
        <v>0</v>
      </c>
      <c r="I58" s="32"/>
      <c r="J58" s="4" t="str">
        <f t="shared" si="57"/>
        <v xml:space="preserve"> </v>
      </c>
      <c r="K58" s="4">
        <f>IF(B58&lt;Podsumowanie!E$7,0,K57+1)</f>
        <v>0</v>
      </c>
      <c r="L58" s="100">
        <f t="shared" si="2"/>
        <v>0.0148</v>
      </c>
      <c r="M58" s="38">
        <f>L58+Podsumowanie!E$6</f>
        <v>0.0268</v>
      </c>
      <c r="N58" s="101">
        <f>MAX(Podsumowanie!E$4+SUM(AA$5:AA57)-SUM(X$5:X58)+SUM(W$5:W58),0)</f>
        <v>181357.6981355522</v>
      </c>
      <c r="O58" s="102">
        <f>MAX(Podsumowanie!E$2+SUM(V$5:V57)-SUM(S$5:S58)+SUM(R$5:R58),0)</f>
        <v>400000</v>
      </c>
      <c r="P58" s="39">
        <f t="shared" si="58"/>
        <v>360</v>
      </c>
      <c r="Q58" s="40" t="str">
        <f>IF(AND(K58&gt;0,K58&lt;=Podsumowanie!E$9),"tak","nie")</f>
        <v>nie</v>
      </c>
      <c r="R58" s="41"/>
      <c r="S58" s="42"/>
      <c r="T58" s="88">
        <f t="shared" si="59"/>
        <v>0</v>
      </c>
      <c r="U58" s="89">
        <f>IF(Q58="tak",T58,IF(P58-SUM(AB$5:AB58)+1&gt;0,IF(Podsumowanie!E$7&lt;B58,IF(SUM(AB$5:AB58)-Podsumowanie!E$9+1&gt;0,PMT(M58/12,P58+1-SUM(AB$5:AB58),O58),T58),0),0))</f>
        <v>0</v>
      </c>
      <c r="V58" s="89">
        <f t="shared" si="84"/>
        <v>0</v>
      </c>
      <c r="W58" s="90" t="str">
        <f>IF(R58&gt;0,R58/(C58*(1-Podsumowanie!E$11))," ")</f>
        <v xml:space="preserve"> </v>
      </c>
      <c r="X58" s="90">
        <f t="shared" si="19"/>
        <v>0</v>
      </c>
      <c r="Y58" s="91">
        <f t="shared" si="3"/>
        <v>0</v>
      </c>
      <c r="Z58" s="90">
        <f>IF(P58-SUM(AB$5:AB58)+1&gt;0,IF(Podsumowanie!E$7&lt;B58,IF(SUM(AB$5:AB58)-Podsumowanie!E$9+1&gt;0,PMT(M58/12,P58+1-SUM(AB$5:AB58),N58),Y58),0),0)</f>
        <v>0</v>
      </c>
      <c r="AA58" s="90">
        <f t="shared" si="80"/>
        <v>0</v>
      </c>
      <c r="AB58" s="8" t="str">
        <f>IF(AND(Podsumowanie!E$7&lt;B58,SUM(AB$5:AB57)&lt;P57),1," ")</f>
        <v xml:space="preserve"> </v>
      </c>
      <c r="AD58" s="51">
        <f>IF(OR(B58&lt;Podsumowanie!E$12,Podsumowanie!E$12=""),-F58+S58,0)</f>
        <v>0</v>
      </c>
      <c r="AE58" s="51">
        <f t="shared" si="22"/>
        <v>0</v>
      </c>
      <c r="AG58" s="10">
        <f>Podsumowanie!E$4-SUM(AI$5:AI57)+SUM(W$42:W58)-SUM(X$42:X58)</f>
        <v>181357.6981355522</v>
      </c>
      <c r="AH58" s="10">
        <f t="shared" si="62"/>
        <v>0</v>
      </c>
      <c r="AI58" s="10">
        <f t="shared" si="63"/>
        <v>0</v>
      </c>
      <c r="AJ58" s="10">
        <f t="shared" si="64"/>
        <v>0</v>
      </c>
      <c r="AK58" s="10">
        <f t="shared" si="65"/>
        <v>0</v>
      </c>
      <c r="AL58" s="10">
        <f>Podsumowanie!E$2-SUM(AN$5:AN57)+SUM(R$42:R58)-SUM(S$42:S58)</f>
        <v>400000</v>
      </c>
      <c r="AM58" s="10">
        <f t="shared" si="66"/>
        <v>0</v>
      </c>
      <c r="AN58" s="10">
        <f t="shared" si="67"/>
        <v>0</v>
      </c>
      <c r="AO58" s="10">
        <f t="shared" si="68"/>
        <v>0</v>
      </c>
      <c r="AP58" s="10">
        <f t="shared" si="69"/>
        <v>0</v>
      </c>
      <c r="AR58" s="43">
        <f t="shared" si="70"/>
        <v>38869</v>
      </c>
      <c r="AS58" s="11">
        <f>AS$5+SUM(AV$5:AV57)-SUM(X$5:X58)+SUM(W$5:W58)</f>
        <v>175916.96719148563</v>
      </c>
      <c r="AT58" s="10">
        <f t="shared" si="71"/>
        <v>0</v>
      </c>
      <c r="AU58" s="10">
        <f>IF(AB58=1,IF(Q58="tak",AT58,PMT(M58/12,P58+1-SUM(AB$5:AB58),AS58)),0)</f>
        <v>0</v>
      </c>
      <c r="AV58" s="10">
        <f t="shared" si="72"/>
        <v>0</v>
      </c>
      <c r="AW58" s="10">
        <f t="shared" si="73"/>
        <v>0</v>
      </c>
      <c r="AY58" s="11">
        <f>AY$5+SUM(BA$5:BA57)+SUM(W$5:W57)-SUM(X$5:X57)</f>
        <v>175916.96719148563</v>
      </c>
      <c r="AZ58" s="11">
        <f t="shared" si="74"/>
        <v>0</v>
      </c>
      <c r="BA58" s="11">
        <f t="shared" si="75"/>
        <v>0</v>
      </c>
      <c r="BB58" s="11">
        <f t="shared" si="76"/>
        <v>0</v>
      </c>
      <c r="BC58" s="11">
        <f t="shared" si="77"/>
        <v>0</v>
      </c>
      <c r="BE58" s="172">
        <f t="shared" si="4"/>
        <v>0.0417</v>
      </c>
      <c r="BF58" s="44">
        <f>BE58+Podsumowanie!$E$6</f>
        <v>0.0537</v>
      </c>
      <c r="BG58" s="11">
        <f>BG$5+SUM(BH$5:BH57)+SUM(R$5:R57)-SUM(S$5:S57)</f>
        <v>400000</v>
      </c>
      <c r="BH58" s="10">
        <f t="shared" si="81"/>
        <v>0</v>
      </c>
      <c r="BI58" s="10">
        <f t="shared" si="79"/>
        <v>0</v>
      </c>
      <c r="BJ58" s="10">
        <f>IF(U58&lt;0,PMT(BF58/12,Podsumowanie!E$8-SUM(AB$5:AB58)+1,BG58),0)</f>
        <v>0</v>
      </c>
      <c r="BL58" s="11">
        <f>BL$5+SUM(BN$5:BN57)+SUM(R$5:R57)-SUM(S$5:S57)</f>
        <v>400000</v>
      </c>
      <c r="BM58" s="11">
        <f t="shared" si="5"/>
        <v>0</v>
      </c>
      <c r="BN58" s="11">
        <f t="shared" si="6"/>
        <v>0</v>
      </c>
      <c r="BO58" s="11">
        <f t="shared" si="7"/>
        <v>0</v>
      </c>
      <c r="BQ58" s="44">
        <f t="shared" si="8"/>
        <v>0.0538</v>
      </c>
      <c r="BR58" s="11">
        <f>BR$5+SUM(BS$5:BS57)+SUM(R$5:R57)-SUM(S$5:S57)+SUM(BV$5:BV57)</f>
        <v>400000</v>
      </c>
      <c r="BS58" s="10">
        <f t="shared" si="46"/>
        <v>0</v>
      </c>
      <c r="BT58" s="10">
        <f t="shared" si="47"/>
        <v>0</v>
      </c>
      <c r="BU58" s="10">
        <f>IF(U58&lt;0,PMT(BQ58/12,Podsumowanie!E$8-SUM(AB$5:AB58)+1,BR58),0)</f>
        <v>0</v>
      </c>
      <c r="BV58" s="10">
        <f t="shared" si="41"/>
        <v>0</v>
      </c>
      <c r="BX58" s="11">
        <f>BX$5+SUM(BZ$5:BZ57)+SUM(R$5:R57)-SUM(S$5:S57)+SUM(CB$5,CB57)</f>
        <v>400000</v>
      </c>
      <c r="BY58" s="10">
        <f t="shared" si="9"/>
        <v>0</v>
      </c>
      <c r="BZ58" s="10">
        <f t="shared" si="10"/>
        <v>0</v>
      </c>
      <c r="CA58" s="10">
        <f t="shared" si="48"/>
        <v>0</v>
      </c>
      <c r="CB58" s="10">
        <f t="shared" si="49"/>
        <v>0</v>
      </c>
      <c r="CD58" s="10">
        <f>CD$5+SUM(CE$5:CE57)+SUM(R$5:R57)-SUM(S$5:S57)-SUM(CF$5:CF57)</f>
        <v>400000</v>
      </c>
      <c r="CE58" s="10">
        <f t="shared" si="42"/>
        <v>0</v>
      </c>
      <c r="CF58" s="10">
        <f t="shared" si="43"/>
        <v>0</v>
      </c>
      <c r="CG58" s="10">
        <f t="shared" si="44"/>
        <v>0</v>
      </c>
      <c r="CI58" s="44">
        <v>0.8137</v>
      </c>
      <c r="CJ58" s="10">
        <f t="shared" si="45"/>
        <v>0</v>
      </c>
      <c r="CK58" s="4">
        <f t="shared" si="50"/>
        <v>0</v>
      </c>
      <c r="CM58" s="10">
        <f t="shared" si="51"/>
        <v>0</v>
      </c>
      <c r="CN58" s="4">
        <f t="shared" si="52"/>
        <v>0</v>
      </c>
    </row>
    <row r="59" spans="1:92" ht="15.75">
      <c r="A59" s="36"/>
      <c r="B59" s="37">
        <v>38899</v>
      </c>
      <c r="C59" s="77">
        <f t="shared" si="1"/>
        <v>2.5482</v>
      </c>
      <c r="D59" s="78">
        <f>C59*(1+Podsumowanie!E$11)</f>
        <v>2.6246460000000003</v>
      </c>
      <c r="E59" s="34">
        <f t="shared" si="53"/>
        <v>0</v>
      </c>
      <c r="F59" s="7">
        <f t="shared" si="82"/>
        <v>0</v>
      </c>
      <c r="G59" s="7">
        <f t="shared" si="55"/>
        <v>0</v>
      </c>
      <c r="H59" s="7">
        <f t="shared" si="83"/>
        <v>0</v>
      </c>
      <c r="I59" s="32"/>
      <c r="J59" s="4" t="str">
        <f t="shared" si="57"/>
        <v xml:space="preserve"> </v>
      </c>
      <c r="K59" s="4">
        <f>IF(B59&lt;Podsumowanie!E$7,0,K58+1)</f>
        <v>0</v>
      </c>
      <c r="L59" s="100">
        <f t="shared" si="2"/>
        <v>0.0153</v>
      </c>
      <c r="M59" s="38">
        <f>L59+Podsumowanie!E$6</f>
        <v>0.027299999999999998</v>
      </c>
      <c r="N59" s="101">
        <f>MAX(Podsumowanie!E$4+SUM(AA$5:AA58)-SUM(X$5:X59)+SUM(W$5:W59),0)</f>
        <v>181357.6981355522</v>
      </c>
      <c r="O59" s="102">
        <f>MAX(Podsumowanie!E$2+SUM(V$5:V58)-SUM(S$5:S59)+SUM(R$5:R59),0)</f>
        <v>400000</v>
      </c>
      <c r="P59" s="39">
        <f t="shared" si="58"/>
        <v>360</v>
      </c>
      <c r="Q59" s="40" t="str">
        <f>IF(AND(K59&gt;0,K59&lt;=Podsumowanie!E$9),"tak","nie")</f>
        <v>nie</v>
      </c>
      <c r="R59" s="41"/>
      <c r="S59" s="42"/>
      <c r="T59" s="88">
        <f t="shared" si="59"/>
        <v>0</v>
      </c>
      <c r="U59" s="89">
        <f>IF(Q59="tak",T59,IF(P59-SUM(AB$5:AB59)+1&gt;0,IF(Podsumowanie!E$7&lt;B59,IF(SUM(AB$5:AB59)-Podsumowanie!E$9+1&gt;0,PMT(M59/12,P59+1-SUM(AB$5:AB59),O59),T59),0),0))</f>
        <v>0</v>
      </c>
      <c r="V59" s="89">
        <f t="shared" si="84"/>
        <v>0</v>
      </c>
      <c r="W59" s="90" t="str">
        <f>IF(R59&gt;0,R59/(C59*(1-Podsumowanie!E$11))," ")</f>
        <v xml:space="preserve"> </v>
      </c>
      <c r="X59" s="90">
        <f t="shared" si="19"/>
        <v>0</v>
      </c>
      <c r="Y59" s="91">
        <f t="shared" si="3"/>
        <v>0</v>
      </c>
      <c r="Z59" s="90">
        <f>IF(P59-SUM(AB$5:AB59)+1&gt;0,IF(Podsumowanie!E$7&lt;B59,IF(SUM(AB$5:AB59)-Podsumowanie!E$9+1&gt;0,PMT(M59/12,P59+1-SUM(AB$5:AB59),N59),Y59),0),0)</f>
        <v>0</v>
      </c>
      <c r="AA59" s="90">
        <f t="shared" si="80"/>
        <v>0</v>
      </c>
      <c r="AB59" s="8" t="str">
        <f>IF(AND(Podsumowanie!E$7&lt;B59,SUM(AB$5:AB58)&lt;P58),1," ")</f>
        <v xml:space="preserve"> </v>
      </c>
      <c r="AD59" s="51">
        <f>IF(OR(B59&lt;Podsumowanie!E$12,Podsumowanie!E$12=""),-F59+S59,0)</f>
        <v>0</v>
      </c>
      <c r="AE59" s="51">
        <f t="shared" si="22"/>
        <v>0</v>
      </c>
      <c r="AG59" s="10">
        <f>Podsumowanie!E$4-SUM(AI$5:AI58)+SUM(W$42:W59)-SUM(X$42:X59)</f>
        <v>181357.6981355522</v>
      </c>
      <c r="AH59" s="10">
        <f t="shared" si="62"/>
        <v>0</v>
      </c>
      <c r="AI59" s="10">
        <f t="shared" si="63"/>
        <v>0</v>
      </c>
      <c r="AJ59" s="10">
        <f t="shared" si="64"/>
        <v>0</v>
      </c>
      <c r="AK59" s="10">
        <f t="shared" si="65"/>
        <v>0</v>
      </c>
      <c r="AL59" s="10">
        <f>Podsumowanie!E$2-SUM(AN$5:AN58)+SUM(R$42:R59)-SUM(S$42:S59)</f>
        <v>400000</v>
      </c>
      <c r="AM59" s="10">
        <f t="shared" si="66"/>
        <v>0</v>
      </c>
      <c r="AN59" s="10">
        <f t="shared" si="67"/>
        <v>0</v>
      </c>
      <c r="AO59" s="10">
        <f t="shared" si="68"/>
        <v>0</v>
      </c>
      <c r="AP59" s="10">
        <f t="shared" si="69"/>
        <v>0</v>
      </c>
      <c r="AR59" s="43">
        <f t="shared" si="70"/>
        <v>38899</v>
      </c>
      <c r="AS59" s="11">
        <f>AS$5+SUM(AV$5:AV58)-SUM(X$5:X59)+SUM(W$5:W59)</f>
        <v>175916.96719148563</v>
      </c>
      <c r="AT59" s="10">
        <f t="shared" si="71"/>
        <v>0</v>
      </c>
      <c r="AU59" s="10">
        <f>IF(AB59=1,IF(Q59="tak",AT59,PMT(M59/12,P59+1-SUM(AB$5:AB59),AS59)),0)</f>
        <v>0</v>
      </c>
      <c r="AV59" s="10">
        <f t="shared" si="72"/>
        <v>0</v>
      </c>
      <c r="AW59" s="10">
        <f t="shared" si="73"/>
        <v>0</v>
      </c>
      <c r="AY59" s="11">
        <f>AY$5+SUM(BA$5:BA58)+SUM(W$5:W58)-SUM(X$5:X58)</f>
        <v>175916.96719148563</v>
      </c>
      <c r="AZ59" s="11">
        <f t="shared" si="74"/>
        <v>0</v>
      </c>
      <c r="BA59" s="11">
        <f t="shared" si="75"/>
        <v>0</v>
      </c>
      <c r="BB59" s="11">
        <f t="shared" si="76"/>
        <v>0</v>
      </c>
      <c r="BC59" s="11">
        <f t="shared" si="77"/>
        <v>0</v>
      </c>
      <c r="BE59" s="172">
        <f t="shared" si="4"/>
        <v>0.0419</v>
      </c>
      <c r="BF59" s="44">
        <f>BE59+Podsumowanie!$E$6</f>
        <v>0.0539</v>
      </c>
      <c r="BG59" s="11">
        <f>BG$5+SUM(BH$5:BH58)+SUM(R$5:R58)-SUM(S$5:S58)</f>
        <v>400000</v>
      </c>
      <c r="BH59" s="10">
        <f t="shared" si="81"/>
        <v>0</v>
      </c>
      <c r="BI59" s="10">
        <f t="shared" si="79"/>
        <v>0</v>
      </c>
      <c r="BJ59" s="10">
        <f>IF(U59&lt;0,PMT(BF59/12,Podsumowanie!E$8-SUM(AB$5:AB59)+1,BG59),0)</f>
        <v>0</v>
      </c>
      <c r="BL59" s="11">
        <f>BL$5+SUM(BN$5:BN58)+SUM(R$5:R58)-SUM(S$5:S58)</f>
        <v>400000</v>
      </c>
      <c r="BM59" s="11">
        <f t="shared" si="5"/>
        <v>0</v>
      </c>
      <c r="BN59" s="11">
        <f t="shared" si="6"/>
        <v>0</v>
      </c>
      <c r="BO59" s="11">
        <f t="shared" si="7"/>
        <v>0</v>
      </c>
      <c r="BQ59" s="44">
        <f t="shared" si="8"/>
        <v>0.054</v>
      </c>
      <c r="BR59" s="11">
        <f>BR$5+SUM(BS$5:BS58)+SUM(R$5:R58)-SUM(S$5:S58)+SUM(BV$5:BV58)</f>
        <v>400000</v>
      </c>
      <c r="BS59" s="10">
        <f t="shared" si="46"/>
        <v>0</v>
      </c>
      <c r="BT59" s="10">
        <f t="shared" si="47"/>
        <v>0</v>
      </c>
      <c r="BU59" s="10">
        <f>IF(U59&lt;0,PMT(BQ59/12,Podsumowanie!E$8-SUM(AB$5:AB59)+1,BR59),0)</f>
        <v>0</v>
      </c>
      <c r="BV59" s="10">
        <f t="shared" si="41"/>
        <v>0</v>
      </c>
      <c r="BX59" s="11">
        <f>BX$5+SUM(BZ$5:BZ58)+SUM(R$5:R58)-SUM(S$5:S58)+SUM(CB$5,CB58)</f>
        <v>400000</v>
      </c>
      <c r="BY59" s="10">
        <f t="shared" si="9"/>
        <v>0</v>
      </c>
      <c r="BZ59" s="10">
        <f t="shared" si="10"/>
        <v>0</v>
      </c>
      <c r="CA59" s="10">
        <f t="shared" si="48"/>
        <v>0</v>
      </c>
      <c r="CB59" s="10">
        <f t="shared" si="49"/>
        <v>0</v>
      </c>
      <c r="CD59" s="10">
        <f>CD$5+SUM(CE$5:CE58)+SUM(R$5:R58)-SUM(S$5:S58)-SUM(CF$5:CF58)</f>
        <v>400000</v>
      </c>
      <c r="CE59" s="10">
        <f t="shared" si="42"/>
        <v>0</v>
      </c>
      <c r="CF59" s="10">
        <f t="shared" si="43"/>
        <v>0</v>
      </c>
      <c r="CG59" s="10">
        <f t="shared" si="44"/>
        <v>0</v>
      </c>
      <c r="CI59" s="44">
        <v>0.8192</v>
      </c>
      <c r="CJ59" s="10">
        <f t="shared" si="45"/>
        <v>0</v>
      </c>
      <c r="CK59" s="4">
        <f t="shared" si="50"/>
        <v>0</v>
      </c>
      <c r="CM59" s="10">
        <f t="shared" si="51"/>
        <v>0</v>
      </c>
      <c r="CN59" s="4">
        <f t="shared" si="52"/>
        <v>0</v>
      </c>
    </row>
    <row r="60" spans="1:92" ht="15.75">
      <c r="A60" s="36"/>
      <c r="B60" s="37">
        <v>38930</v>
      </c>
      <c r="C60" s="77">
        <f t="shared" si="1"/>
        <v>2.4725</v>
      </c>
      <c r="D60" s="78">
        <f>C60*(1+Podsumowanie!E$11)</f>
        <v>2.546675</v>
      </c>
      <c r="E60" s="34">
        <f t="shared" si="53"/>
        <v>0</v>
      </c>
      <c r="F60" s="7">
        <f t="shared" si="82"/>
        <v>0</v>
      </c>
      <c r="G60" s="7">
        <f t="shared" si="55"/>
        <v>0</v>
      </c>
      <c r="H60" s="7">
        <f t="shared" si="83"/>
        <v>0</v>
      </c>
      <c r="I60" s="32"/>
      <c r="J60" s="4" t="str">
        <f t="shared" si="57"/>
        <v xml:space="preserve"> </v>
      </c>
      <c r="K60" s="4">
        <f>IF(B60&lt;Podsumowanie!E$7,0,K59+1)</f>
        <v>0</v>
      </c>
      <c r="L60" s="100">
        <f t="shared" si="2"/>
        <v>0.0161</v>
      </c>
      <c r="M60" s="38">
        <f>L60+Podsumowanie!E$6</f>
        <v>0.0281</v>
      </c>
      <c r="N60" s="101">
        <f>MAX(Podsumowanie!E$4+SUM(AA$5:AA59)-SUM(X$5:X60)+SUM(W$5:W60),0)</f>
        <v>181357.6981355522</v>
      </c>
      <c r="O60" s="102">
        <f>MAX(Podsumowanie!E$2+SUM(V$5:V59)-SUM(S$5:S60)+SUM(R$5:R60),0)</f>
        <v>400000</v>
      </c>
      <c r="P60" s="39">
        <f t="shared" si="58"/>
        <v>360</v>
      </c>
      <c r="Q60" s="40" t="str">
        <f>IF(AND(K60&gt;0,K60&lt;=Podsumowanie!E$9),"tak","nie")</f>
        <v>nie</v>
      </c>
      <c r="R60" s="41"/>
      <c r="S60" s="42"/>
      <c r="T60" s="88">
        <f t="shared" si="59"/>
        <v>0</v>
      </c>
      <c r="U60" s="89">
        <f>IF(Q60="tak",T60,IF(P60-SUM(AB$5:AB60)+1&gt;0,IF(Podsumowanie!E$7&lt;B60,IF(SUM(AB$5:AB60)-Podsumowanie!E$9+1&gt;0,PMT(M60/12,P60+1-SUM(AB$5:AB60),O60),T60),0),0))</f>
        <v>0</v>
      </c>
      <c r="V60" s="89">
        <f t="shared" si="84"/>
        <v>0</v>
      </c>
      <c r="W60" s="90" t="str">
        <f>IF(R60&gt;0,R60/(C60*(1-Podsumowanie!E$11))," ")</f>
        <v xml:space="preserve"> </v>
      </c>
      <c r="X60" s="90">
        <f t="shared" si="19"/>
        <v>0</v>
      </c>
      <c r="Y60" s="91">
        <f t="shared" si="3"/>
        <v>0</v>
      </c>
      <c r="Z60" s="90">
        <f>IF(P60-SUM(AB$5:AB60)+1&gt;0,IF(Podsumowanie!E$7&lt;B60,IF(SUM(AB$5:AB60)-Podsumowanie!E$9+1&gt;0,PMT(M60/12,P60+1-SUM(AB$5:AB60),N60),Y60),0),0)</f>
        <v>0</v>
      </c>
      <c r="AA60" s="90">
        <f t="shared" si="80"/>
        <v>0</v>
      </c>
      <c r="AB60" s="8" t="str">
        <f>IF(AND(Podsumowanie!E$7&lt;B60,SUM(AB$5:AB59)&lt;P59),1," ")</f>
        <v xml:space="preserve"> </v>
      </c>
      <c r="AD60" s="51">
        <f>IF(OR(B60&lt;Podsumowanie!E$12,Podsumowanie!E$12=""),-F60+S60,0)</f>
        <v>0</v>
      </c>
      <c r="AE60" s="51">
        <f t="shared" si="22"/>
        <v>0</v>
      </c>
      <c r="AG60" s="10">
        <f>Podsumowanie!E$4-SUM(AI$5:AI59)+SUM(W$42:W60)-SUM(X$42:X60)</f>
        <v>181357.6981355522</v>
      </c>
      <c r="AH60" s="10">
        <f t="shared" si="62"/>
        <v>0</v>
      </c>
      <c r="AI60" s="10">
        <f t="shared" si="63"/>
        <v>0</v>
      </c>
      <c r="AJ60" s="10">
        <f t="shared" si="64"/>
        <v>0</v>
      </c>
      <c r="AK60" s="10">
        <f t="shared" si="65"/>
        <v>0</v>
      </c>
      <c r="AL60" s="10">
        <f>Podsumowanie!E$2-SUM(AN$5:AN59)+SUM(R$42:R60)-SUM(S$42:S60)</f>
        <v>400000</v>
      </c>
      <c r="AM60" s="10">
        <f t="shared" si="66"/>
        <v>0</v>
      </c>
      <c r="AN60" s="10">
        <f t="shared" si="67"/>
        <v>0</v>
      </c>
      <c r="AO60" s="10">
        <f t="shared" si="68"/>
        <v>0</v>
      </c>
      <c r="AP60" s="10">
        <f t="shared" si="69"/>
        <v>0</v>
      </c>
      <c r="AR60" s="43">
        <f t="shared" si="70"/>
        <v>38930</v>
      </c>
      <c r="AS60" s="11">
        <f>AS$5+SUM(AV$5:AV59)-SUM(X$5:X60)+SUM(W$5:W60)</f>
        <v>175916.96719148563</v>
      </c>
      <c r="AT60" s="10">
        <f t="shared" si="71"/>
        <v>0</v>
      </c>
      <c r="AU60" s="10">
        <f>IF(AB60=1,IF(Q60="tak",AT60,PMT(M60/12,P60+1-SUM(AB$5:AB60),AS60)),0)</f>
        <v>0</v>
      </c>
      <c r="AV60" s="10">
        <f t="shared" si="72"/>
        <v>0</v>
      </c>
      <c r="AW60" s="10">
        <f t="shared" si="73"/>
        <v>0</v>
      </c>
      <c r="AY60" s="11">
        <f>AY$5+SUM(BA$5:BA59)+SUM(W$5:W59)-SUM(X$5:X59)</f>
        <v>175916.96719148563</v>
      </c>
      <c r="AZ60" s="11">
        <f t="shared" si="74"/>
        <v>0</v>
      </c>
      <c r="BA60" s="11">
        <f t="shared" si="75"/>
        <v>0</v>
      </c>
      <c r="BB60" s="11">
        <f t="shared" si="76"/>
        <v>0</v>
      </c>
      <c r="BC60" s="11">
        <f t="shared" si="77"/>
        <v>0</v>
      </c>
      <c r="BE60" s="172">
        <f t="shared" si="4"/>
        <v>0.0419</v>
      </c>
      <c r="BF60" s="44">
        <f>BE60+Podsumowanie!$E$6</f>
        <v>0.0539</v>
      </c>
      <c r="BG60" s="11">
        <f>BG$5+SUM(BH$5:BH59)+SUM(R$5:R59)-SUM(S$5:S59)</f>
        <v>400000</v>
      </c>
      <c r="BH60" s="10">
        <f t="shared" si="81"/>
        <v>0</v>
      </c>
      <c r="BI60" s="10">
        <f t="shared" si="79"/>
        <v>0</v>
      </c>
      <c r="BJ60" s="10">
        <f>IF(U60&lt;0,PMT(BF60/12,Podsumowanie!E$8-SUM(AB$5:AB60)+1,BG60),0)</f>
        <v>0</v>
      </c>
      <c r="BL60" s="11">
        <f>BL$5+SUM(BN$5:BN59)+SUM(R$5:R59)-SUM(S$5:S59)</f>
        <v>400000</v>
      </c>
      <c r="BM60" s="11">
        <f t="shared" si="5"/>
        <v>0</v>
      </c>
      <c r="BN60" s="11">
        <f t="shared" si="6"/>
        <v>0</v>
      </c>
      <c r="BO60" s="11">
        <f t="shared" si="7"/>
        <v>0</v>
      </c>
      <c r="BQ60" s="44">
        <f t="shared" si="8"/>
        <v>0.054</v>
      </c>
      <c r="BR60" s="11">
        <f>BR$5+SUM(BS$5:BS59)+SUM(R$5:R59)-SUM(S$5:S59)+SUM(BV$5:BV59)</f>
        <v>400000</v>
      </c>
      <c r="BS60" s="10">
        <f t="shared" si="46"/>
        <v>0</v>
      </c>
      <c r="BT60" s="10">
        <f t="shared" si="47"/>
        <v>0</v>
      </c>
      <c r="BU60" s="10">
        <f>IF(U60&lt;0,PMT(BQ60/12,Podsumowanie!E$8-SUM(AB$5:AB60)+1,BR60),0)</f>
        <v>0</v>
      </c>
      <c r="BV60" s="10">
        <f t="shared" si="41"/>
        <v>0</v>
      </c>
      <c r="BX60" s="11">
        <f>BX$5+SUM(BZ$5:BZ59)+SUM(R$5:R59)-SUM(S$5:S59)+SUM(CB$5,CB59)</f>
        <v>400000</v>
      </c>
      <c r="BY60" s="10">
        <f t="shared" si="9"/>
        <v>0</v>
      </c>
      <c r="BZ60" s="10">
        <f t="shared" si="10"/>
        <v>0</v>
      </c>
      <c r="CA60" s="10">
        <f t="shared" si="48"/>
        <v>0</v>
      </c>
      <c r="CB60" s="10">
        <f t="shared" si="49"/>
        <v>0</v>
      </c>
      <c r="CD60" s="10">
        <f>CD$5+SUM(CE$5:CE59)+SUM(R$5:R59)-SUM(S$5:S59)-SUM(CF$5:CF59)</f>
        <v>400000</v>
      </c>
      <c r="CE60" s="10">
        <f t="shared" si="42"/>
        <v>0</v>
      </c>
      <c r="CF60" s="10">
        <f t="shared" si="43"/>
        <v>0</v>
      </c>
      <c r="CG60" s="10">
        <f t="shared" si="44"/>
        <v>0</v>
      </c>
      <c r="CI60" s="44">
        <v>0.8192</v>
      </c>
      <c r="CJ60" s="10">
        <f t="shared" si="45"/>
        <v>0</v>
      </c>
      <c r="CK60" s="4">
        <f t="shared" si="50"/>
        <v>0</v>
      </c>
      <c r="CM60" s="10">
        <f t="shared" si="51"/>
        <v>0</v>
      </c>
      <c r="CN60" s="4">
        <f t="shared" si="52"/>
        <v>0</v>
      </c>
    </row>
    <row r="61" spans="1:92" ht="15.75">
      <c r="A61" s="36"/>
      <c r="B61" s="37">
        <v>38961</v>
      </c>
      <c r="C61" s="77">
        <f t="shared" si="1"/>
        <v>2.5062</v>
      </c>
      <c r="D61" s="78">
        <f>C61*(1+Podsumowanie!E$11)</f>
        <v>2.581386</v>
      </c>
      <c r="E61" s="34">
        <f t="shared" si="53"/>
        <v>0</v>
      </c>
      <c r="F61" s="7">
        <f t="shared" si="82"/>
        <v>0</v>
      </c>
      <c r="G61" s="7">
        <f t="shared" si="55"/>
        <v>0</v>
      </c>
      <c r="H61" s="7">
        <f t="shared" si="83"/>
        <v>0</v>
      </c>
      <c r="I61" s="32"/>
      <c r="J61" s="4" t="str">
        <f t="shared" si="57"/>
        <v xml:space="preserve"> </v>
      </c>
      <c r="K61" s="4">
        <f>IF(B61&lt;Podsumowanie!E$7,0,K60+1)</f>
        <v>0</v>
      </c>
      <c r="L61" s="100">
        <f t="shared" si="2"/>
        <v>0.0167</v>
      </c>
      <c r="M61" s="38">
        <f>L61+Podsumowanie!E$6</f>
        <v>0.0287</v>
      </c>
      <c r="N61" s="101">
        <f>MAX(Podsumowanie!E$4+SUM(AA$5:AA60)-SUM(X$5:X61)+SUM(W$5:W61),0)</f>
        <v>181357.6981355522</v>
      </c>
      <c r="O61" s="102">
        <f>MAX(Podsumowanie!E$2+SUM(V$5:V60)-SUM(S$5:S61)+SUM(R$5:R61),0)</f>
        <v>400000</v>
      </c>
      <c r="P61" s="39">
        <f t="shared" si="58"/>
        <v>360</v>
      </c>
      <c r="Q61" s="40" t="str">
        <f>IF(AND(K61&gt;0,K61&lt;=Podsumowanie!E$9),"tak","nie")</f>
        <v>nie</v>
      </c>
      <c r="R61" s="41"/>
      <c r="S61" s="42"/>
      <c r="T61" s="88">
        <f t="shared" si="59"/>
        <v>0</v>
      </c>
      <c r="U61" s="89">
        <f>IF(Q61="tak",T61,IF(P61-SUM(AB$5:AB61)+1&gt;0,IF(Podsumowanie!E$7&lt;B61,IF(SUM(AB$5:AB61)-Podsumowanie!E$9+1&gt;0,PMT(M61/12,P61+1-SUM(AB$5:AB61),O61),T61),0),0))</f>
        <v>0</v>
      </c>
      <c r="V61" s="89">
        <f t="shared" si="84"/>
        <v>0</v>
      </c>
      <c r="W61" s="90" t="str">
        <f>IF(R61&gt;0,R61/(C61*(1-Podsumowanie!E$11))," ")</f>
        <v xml:space="preserve"> </v>
      </c>
      <c r="X61" s="90">
        <f t="shared" si="19"/>
        <v>0</v>
      </c>
      <c r="Y61" s="91">
        <f t="shared" si="3"/>
        <v>0</v>
      </c>
      <c r="Z61" s="90">
        <f>IF(P61-SUM(AB$5:AB61)+1&gt;0,IF(Podsumowanie!E$7&lt;B61,IF(SUM(AB$5:AB61)-Podsumowanie!E$9+1&gt;0,PMT(M61/12,P61+1-SUM(AB$5:AB61),N61),Y61),0),0)</f>
        <v>0</v>
      </c>
      <c r="AA61" s="90">
        <f t="shared" si="80"/>
        <v>0</v>
      </c>
      <c r="AB61" s="8" t="str">
        <f>IF(AND(Podsumowanie!E$7&lt;B61,SUM(AB$5:AB60)&lt;P60),1," ")</f>
        <v xml:space="preserve"> </v>
      </c>
      <c r="AD61" s="51">
        <f>IF(OR(B61&lt;Podsumowanie!E$12,Podsumowanie!E$12=""),-F61+S61,0)</f>
        <v>0</v>
      </c>
      <c r="AE61" s="51">
        <f t="shared" si="22"/>
        <v>0</v>
      </c>
      <c r="AG61" s="10">
        <f>Podsumowanie!E$4-SUM(AI$5:AI60)+SUM(W$42:W61)-SUM(X$42:X61)</f>
        <v>181357.6981355522</v>
      </c>
      <c r="AH61" s="10">
        <f t="shared" si="62"/>
        <v>0</v>
      </c>
      <c r="AI61" s="10">
        <f t="shared" si="63"/>
        <v>0</v>
      </c>
      <c r="AJ61" s="10">
        <f t="shared" si="64"/>
        <v>0</v>
      </c>
      <c r="AK61" s="10">
        <f t="shared" si="65"/>
        <v>0</v>
      </c>
      <c r="AL61" s="10">
        <f>Podsumowanie!E$2-SUM(AN$5:AN60)+SUM(R$42:R61)-SUM(S$42:S61)</f>
        <v>400000</v>
      </c>
      <c r="AM61" s="10">
        <f t="shared" si="66"/>
        <v>0</v>
      </c>
      <c r="AN61" s="10">
        <f t="shared" si="67"/>
        <v>0</v>
      </c>
      <c r="AO61" s="10">
        <f t="shared" si="68"/>
        <v>0</v>
      </c>
      <c r="AP61" s="10">
        <f t="shared" si="69"/>
        <v>0</v>
      </c>
      <c r="AR61" s="43">
        <f t="shared" si="70"/>
        <v>38961</v>
      </c>
      <c r="AS61" s="11">
        <f>AS$5+SUM(AV$5:AV60)-SUM(X$5:X61)+SUM(W$5:W61)</f>
        <v>175916.96719148563</v>
      </c>
      <c r="AT61" s="10">
        <f t="shared" si="71"/>
        <v>0</v>
      </c>
      <c r="AU61" s="10">
        <f>IF(AB61=1,IF(Q61="tak",AT61,PMT(M61/12,P61+1-SUM(AB$5:AB61),AS61)),0)</f>
        <v>0</v>
      </c>
      <c r="AV61" s="10">
        <f t="shared" si="72"/>
        <v>0</v>
      </c>
      <c r="AW61" s="10">
        <f t="shared" si="73"/>
        <v>0</v>
      </c>
      <c r="AY61" s="11">
        <f>AY$5+SUM(BA$5:BA60)+SUM(W$5:W60)-SUM(X$5:X60)</f>
        <v>175916.96719148563</v>
      </c>
      <c r="AZ61" s="11">
        <f t="shared" si="74"/>
        <v>0</v>
      </c>
      <c r="BA61" s="11">
        <f t="shared" si="75"/>
        <v>0</v>
      </c>
      <c r="BB61" s="11">
        <f t="shared" si="76"/>
        <v>0</v>
      </c>
      <c r="BC61" s="11">
        <f t="shared" si="77"/>
        <v>0</v>
      </c>
      <c r="BE61" s="172">
        <f t="shared" si="4"/>
        <v>0.0421</v>
      </c>
      <c r="BF61" s="44">
        <f>BE61+Podsumowanie!$E$6</f>
        <v>0.054099999999999995</v>
      </c>
      <c r="BG61" s="11">
        <f>BG$5+SUM(BH$5:BH60)+SUM(R$5:R60)-SUM(S$5:S60)</f>
        <v>400000</v>
      </c>
      <c r="BH61" s="10">
        <f t="shared" si="81"/>
        <v>0</v>
      </c>
      <c r="BI61" s="10">
        <f t="shared" si="79"/>
        <v>0</v>
      </c>
      <c r="BJ61" s="10">
        <f>IF(U61&lt;0,PMT(BF61/12,Podsumowanie!E$8-SUM(AB$5:AB61)+1,BG61),0)</f>
        <v>0</v>
      </c>
      <c r="BL61" s="11">
        <f>BL$5+SUM(BN$5:BN60)+SUM(R$5:R60)-SUM(S$5:S60)</f>
        <v>400000</v>
      </c>
      <c r="BM61" s="11">
        <f t="shared" si="5"/>
        <v>0</v>
      </c>
      <c r="BN61" s="11">
        <f t="shared" si="6"/>
        <v>0</v>
      </c>
      <c r="BO61" s="11">
        <f t="shared" si="7"/>
        <v>0</v>
      </c>
      <c r="BQ61" s="44">
        <f t="shared" si="8"/>
        <v>0.0542</v>
      </c>
      <c r="BR61" s="11">
        <f>BR$5+SUM(BS$5:BS60)+SUM(R$5:R60)-SUM(S$5:S60)+SUM(BV$5:BV60)</f>
        <v>400000</v>
      </c>
      <c r="BS61" s="10">
        <f t="shared" si="46"/>
        <v>0</v>
      </c>
      <c r="BT61" s="10">
        <f t="shared" si="47"/>
        <v>0</v>
      </c>
      <c r="BU61" s="10">
        <f>IF(U61&lt;0,PMT(BQ61/12,Podsumowanie!E$8-SUM(AB$5:AB61)+1,BR61),0)</f>
        <v>0</v>
      </c>
      <c r="BV61" s="10">
        <f t="shared" si="41"/>
        <v>0</v>
      </c>
      <c r="BX61" s="11">
        <f>BX$5+SUM(BZ$5:BZ60)+SUM(R$5:R60)-SUM(S$5:S60)+SUM(CB$5,CB60)</f>
        <v>400000</v>
      </c>
      <c r="BY61" s="10">
        <f t="shared" si="9"/>
        <v>0</v>
      </c>
      <c r="BZ61" s="10">
        <f t="shared" si="10"/>
        <v>0</v>
      </c>
      <c r="CA61" s="10">
        <f t="shared" si="48"/>
        <v>0</v>
      </c>
      <c r="CB61" s="10">
        <f t="shared" si="49"/>
        <v>0</v>
      </c>
      <c r="CD61" s="10">
        <f>CD$5+SUM(CE$5:CE60)+SUM(R$5:R60)-SUM(S$5:S60)-SUM(CF$5:CF60)</f>
        <v>400000</v>
      </c>
      <c r="CE61" s="10">
        <f t="shared" si="42"/>
        <v>0</v>
      </c>
      <c r="CF61" s="10">
        <f t="shared" si="43"/>
        <v>0</v>
      </c>
      <c r="CG61" s="10">
        <f t="shared" si="44"/>
        <v>0</v>
      </c>
      <c r="CI61" s="44">
        <v>0.8137</v>
      </c>
      <c r="CJ61" s="10">
        <f t="shared" si="45"/>
        <v>0</v>
      </c>
      <c r="CK61" s="4">
        <f t="shared" si="50"/>
        <v>0</v>
      </c>
      <c r="CM61" s="10">
        <f t="shared" si="51"/>
        <v>0</v>
      </c>
      <c r="CN61" s="4">
        <f t="shared" si="52"/>
        <v>0</v>
      </c>
    </row>
    <row r="62" spans="1:92" ht="15.75">
      <c r="A62" s="36"/>
      <c r="B62" s="37">
        <v>38991</v>
      </c>
      <c r="C62" s="77">
        <f t="shared" si="1"/>
        <v>2.4547</v>
      </c>
      <c r="D62" s="78">
        <f>C62*(1+Podsumowanie!E$11)</f>
        <v>2.5283409999999997</v>
      </c>
      <c r="E62" s="34">
        <f t="shared" si="53"/>
        <v>0</v>
      </c>
      <c r="F62" s="7">
        <f t="shared" si="82"/>
        <v>0</v>
      </c>
      <c r="G62" s="7">
        <f t="shared" si="55"/>
        <v>0</v>
      </c>
      <c r="H62" s="7">
        <f t="shared" si="83"/>
        <v>0</v>
      </c>
      <c r="I62" s="32"/>
      <c r="J62" s="4" t="str">
        <f t="shared" si="57"/>
        <v xml:space="preserve"> </v>
      </c>
      <c r="K62" s="4">
        <f>IF(B62&lt;Podsumowanie!E$7,0,K61+1)</f>
        <v>0</v>
      </c>
      <c r="L62" s="100">
        <f t="shared" si="2"/>
        <v>0.0181</v>
      </c>
      <c r="M62" s="38">
        <f>L62+Podsumowanie!E$6</f>
        <v>0.030100000000000002</v>
      </c>
      <c r="N62" s="101">
        <f>MAX(Podsumowanie!E$4+SUM(AA$5:AA61)-SUM(X$5:X62)+SUM(W$5:W62),0)</f>
        <v>181357.6981355522</v>
      </c>
      <c r="O62" s="102">
        <f>MAX(Podsumowanie!E$2+SUM(V$5:V61)-SUM(S$5:S62)+SUM(R$5:R62),0)</f>
        <v>400000</v>
      </c>
      <c r="P62" s="39">
        <f t="shared" si="58"/>
        <v>360</v>
      </c>
      <c r="Q62" s="40" t="str">
        <f>IF(AND(K62&gt;0,K62&lt;=Podsumowanie!E$9),"tak","nie")</f>
        <v>nie</v>
      </c>
      <c r="R62" s="41"/>
      <c r="S62" s="42"/>
      <c r="T62" s="88">
        <f t="shared" si="59"/>
        <v>0</v>
      </c>
      <c r="U62" s="89">
        <f>IF(Q62="tak",T62,IF(P62-SUM(AB$5:AB62)+1&gt;0,IF(Podsumowanie!E$7&lt;B62,IF(SUM(AB$5:AB62)-Podsumowanie!E$9+1&gt;0,PMT(M62/12,P62+1-SUM(AB$5:AB62),O62),T62),0),0))</f>
        <v>0</v>
      </c>
      <c r="V62" s="89">
        <f t="shared" si="84"/>
        <v>0</v>
      </c>
      <c r="W62" s="90" t="str">
        <f>IF(R62&gt;0,R62/(C62*(1-Podsumowanie!E$11))," ")</f>
        <v xml:space="preserve"> </v>
      </c>
      <c r="X62" s="90">
        <f t="shared" si="19"/>
        <v>0</v>
      </c>
      <c r="Y62" s="91">
        <f t="shared" si="3"/>
        <v>0</v>
      </c>
      <c r="Z62" s="90">
        <f>IF(P62-SUM(AB$5:AB62)+1&gt;0,IF(Podsumowanie!E$7&lt;B62,IF(SUM(AB$5:AB62)-Podsumowanie!E$9+1&gt;0,PMT(M62/12,P62+1-SUM(AB$5:AB62),N62),Y62),0),0)</f>
        <v>0</v>
      </c>
      <c r="AA62" s="90">
        <f t="shared" si="80"/>
        <v>0</v>
      </c>
      <c r="AB62" s="8" t="str">
        <f>IF(AND(Podsumowanie!E$7&lt;B62,SUM(AB$5:AB61)&lt;P61),1," ")</f>
        <v xml:space="preserve"> </v>
      </c>
      <c r="AD62" s="51">
        <f>IF(OR(B62&lt;Podsumowanie!E$12,Podsumowanie!E$12=""),-F62+S62,0)</f>
        <v>0</v>
      </c>
      <c r="AE62" s="51">
        <f t="shared" si="22"/>
        <v>0</v>
      </c>
      <c r="AG62" s="10">
        <f>Podsumowanie!E$4-SUM(AI$5:AI61)+SUM(W$42:W62)-SUM(X$42:X62)</f>
        <v>181357.6981355522</v>
      </c>
      <c r="AH62" s="10">
        <f t="shared" si="62"/>
        <v>0</v>
      </c>
      <c r="AI62" s="10">
        <f t="shared" si="63"/>
        <v>0</v>
      </c>
      <c r="AJ62" s="10">
        <f t="shared" si="64"/>
        <v>0</v>
      </c>
      <c r="AK62" s="10">
        <f t="shared" si="65"/>
        <v>0</v>
      </c>
      <c r="AL62" s="10">
        <f>Podsumowanie!E$2-SUM(AN$5:AN61)+SUM(R$42:R62)-SUM(S$42:S62)</f>
        <v>400000</v>
      </c>
      <c r="AM62" s="10">
        <f t="shared" si="66"/>
        <v>0</v>
      </c>
      <c r="AN62" s="10">
        <f t="shared" si="67"/>
        <v>0</v>
      </c>
      <c r="AO62" s="10">
        <f t="shared" si="68"/>
        <v>0</v>
      </c>
      <c r="AP62" s="10">
        <f t="shared" si="69"/>
        <v>0</v>
      </c>
      <c r="AR62" s="43">
        <f t="shared" si="70"/>
        <v>38991</v>
      </c>
      <c r="AS62" s="11">
        <f>AS$5+SUM(AV$5:AV61)-SUM(X$5:X62)+SUM(W$5:W62)</f>
        <v>175916.96719148563</v>
      </c>
      <c r="AT62" s="10">
        <f t="shared" si="71"/>
        <v>0</v>
      </c>
      <c r="AU62" s="10">
        <f>IF(AB62=1,IF(Q62="tak",AT62,PMT(M62/12,P62+1-SUM(AB$5:AB62),AS62)),0)</f>
        <v>0</v>
      </c>
      <c r="AV62" s="10">
        <f t="shared" si="72"/>
        <v>0</v>
      </c>
      <c r="AW62" s="10">
        <f t="shared" si="73"/>
        <v>0</v>
      </c>
      <c r="AY62" s="11">
        <f>AY$5+SUM(BA$5:BA61)+SUM(W$5:W61)-SUM(X$5:X61)</f>
        <v>175916.96719148563</v>
      </c>
      <c r="AZ62" s="11">
        <f t="shared" si="74"/>
        <v>0</v>
      </c>
      <c r="BA62" s="11">
        <f t="shared" si="75"/>
        <v>0</v>
      </c>
      <c r="BB62" s="11">
        <f t="shared" si="76"/>
        <v>0</v>
      </c>
      <c r="BC62" s="11">
        <f t="shared" si="77"/>
        <v>0</v>
      </c>
      <c r="BE62" s="172">
        <f t="shared" si="4"/>
        <v>0.0422</v>
      </c>
      <c r="BF62" s="44">
        <f>BE62+Podsumowanie!$E$6</f>
        <v>0.0542</v>
      </c>
      <c r="BG62" s="11">
        <f>BG$5+SUM(BH$5:BH61)+SUM(R$5:R61)-SUM(S$5:S61)</f>
        <v>400000</v>
      </c>
      <c r="BH62" s="10">
        <f t="shared" si="81"/>
        <v>0</v>
      </c>
      <c r="BI62" s="10">
        <f t="shared" si="79"/>
        <v>0</v>
      </c>
      <c r="BJ62" s="10">
        <f>IF(U62&lt;0,PMT(BF62/12,Podsumowanie!E$8-SUM(AB$5:AB62)+1,BG62),0)</f>
        <v>0</v>
      </c>
      <c r="BL62" s="11">
        <f>BL$5+SUM(BN$5:BN61)+SUM(R$5:R61)-SUM(S$5:S61)</f>
        <v>400000</v>
      </c>
      <c r="BM62" s="11">
        <f t="shared" si="5"/>
        <v>0</v>
      </c>
      <c r="BN62" s="11">
        <f t="shared" si="6"/>
        <v>0</v>
      </c>
      <c r="BO62" s="11">
        <f t="shared" si="7"/>
        <v>0</v>
      </c>
      <c r="BQ62" s="44">
        <f t="shared" si="8"/>
        <v>0.0543</v>
      </c>
      <c r="BR62" s="11">
        <f>BR$5+SUM(BS$5:BS61)+SUM(R$5:R61)-SUM(S$5:S61)+SUM(BV$5:BV61)</f>
        <v>400000</v>
      </c>
      <c r="BS62" s="10">
        <f t="shared" si="46"/>
        <v>0</v>
      </c>
      <c r="BT62" s="10">
        <f t="shared" si="47"/>
        <v>0</v>
      </c>
      <c r="BU62" s="10">
        <f>IF(U62&lt;0,PMT(BQ62/12,Podsumowanie!E$8-SUM(AB$5:AB62)+1,BR62),0)</f>
        <v>0</v>
      </c>
      <c r="BV62" s="10">
        <f t="shared" si="41"/>
        <v>0</v>
      </c>
      <c r="BX62" s="11">
        <f>BX$5+SUM(BZ$5:BZ61)+SUM(R$5:R61)-SUM(S$5:S61)+SUM(CB$5,CB61)</f>
        <v>400000</v>
      </c>
      <c r="BY62" s="10">
        <f t="shared" si="9"/>
        <v>0</v>
      </c>
      <c r="BZ62" s="10">
        <f t="shared" si="10"/>
        <v>0</v>
      </c>
      <c r="CA62" s="10">
        <f t="shared" si="48"/>
        <v>0</v>
      </c>
      <c r="CB62" s="10">
        <f t="shared" si="49"/>
        <v>0</v>
      </c>
      <c r="CD62" s="10">
        <f>CD$5+SUM(CE$5:CE61)+SUM(R$5:R61)-SUM(S$5:S61)-SUM(CF$5:CF61)</f>
        <v>400000</v>
      </c>
      <c r="CE62" s="10">
        <f t="shared" si="42"/>
        <v>0</v>
      </c>
      <c r="CF62" s="10">
        <f t="shared" si="43"/>
        <v>0</v>
      </c>
      <c r="CG62" s="10">
        <f t="shared" si="44"/>
        <v>0</v>
      </c>
      <c r="CI62" s="44">
        <v>0.8101</v>
      </c>
      <c r="CJ62" s="10">
        <f t="shared" si="45"/>
        <v>0</v>
      </c>
      <c r="CK62" s="4">
        <f t="shared" si="50"/>
        <v>0</v>
      </c>
      <c r="CM62" s="10">
        <f t="shared" si="51"/>
        <v>0</v>
      </c>
      <c r="CN62" s="4">
        <f t="shared" si="52"/>
        <v>0</v>
      </c>
    </row>
    <row r="63" spans="1:92" ht="15.75">
      <c r="A63" s="36"/>
      <c r="B63" s="37">
        <v>39022</v>
      </c>
      <c r="C63" s="77">
        <f t="shared" si="1"/>
        <v>2.4055</v>
      </c>
      <c r="D63" s="78">
        <f>C63*(1+Podsumowanie!E$11)</f>
        <v>2.477665</v>
      </c>
      <c r="E63" s="34">
        <f t="shared" si="53"/>
        <v>0</v>
      </c>
      <c r="F63" s="7">
        <f t="shared" si="82"/>
        <v>0</v>
      </c>
      <c r="G63" s="7">
        <f t="shared" si="55"/>
        <v>0</v>
      </c>
      <c r="H63" s="7">
        <f t="shared" si="83"/>
        <v>0</v>
      </c>
      <c r="I63" s="32"/>
      <c r="J63" s="4" t="str">
        <f t="shared" si="57"/>
        <v xml:space="preserve"> </v>
      </c>
      <c r="K63" s="4">
        <f>IF(B63&lt;Podsumowanie!E$7,0,K62+1)</f>
        <v>0</v>
      </c>
      <c r="L63" s="100">
        <f t="shared" si="2"/>
        <v>0.0181</v>
      </c>
      <c r="M63" s="38">
        <f>L63+Podsumowanie!E$6</f>
        <v>0.030100000000000002</v>
      </c>
      <c r="N63" s="101">
        <f>MAX(Podsumowanie!E$4+SUM(AA$5:AA62)-SUM(X$5:X63)+SUM(W$5:W63),0)</f>
        <v>181357.6981355522</v>
      </c>
      <c r="O63" s="102">
        <f>MAX(Podsumowanie!E$2+SUM(V$5:V62)-SUM(S$5:S63)+SUM(R$5:R63),0)</f>
        <v>400000</v>
      </c>
      <c r="P63" s="39">
        <f t="shared" si="58"/>
        <v>360</v>
      </c>
      <c r="Q63" s="40" t="str">
        <f>IF(AND(K63&gt;0,K63&lt;=Podsumowanie!E$9),"tak","nie")</f>
        <v>nie</v>
      </c>
      <c r="R63" s="41"/>
      <c r="S63" s="42"/>
      <c r="T63" s="88">
        <f t="shared" si="59"/>
        <v>0</v>
      </c>
      <c r="U63" s="89">
        <f>IF(Q63="tak",T63,IF(P63-SUM(AB$5:AB63)+1&gt;0,IF(Podsumowanie!E$7&lt;B63,IF(SUM(AB$5:AB63)-Podsumowanie!E$9+1&gt;0,PMT(M63/12,P63+1-SUM(AB$5:AB63),O63),T63),0),0))</f>
        <v>0</v>
      </c>
      <c r="V63" s="89">
        <f t="shared" si="84"/>
        <v>0</v>
      </c>
      <c r="W63" s="90" t="str">
        <f>IF(R63&gt;0,R63/(C63*(1-Podsumowanie!E$11))," ")</f>
        <v xml:space="preserve"> </v>
      </c>
      <c r="X63" s="90">
        <f t="shared" si="19"/>
        <v>0</v>
      </c>
      <c r="Y63" s="91">
        <f t="shared" si="3"/>
        <v>0</v>
      </c>
      <c r="Z63" s="90">
        <f>IF(P63-SUM(AB$5:AB63)+1&gt;0,IF(Podsumowanie!E$7&lt;B63,IF(SUM(AB$5:AB63)-Podsumowanie!E$9+1&gt;0,PMT(M63/12,P63+1-SUM(AB$5:AB63),N63),Y63),0),0)</f>
        <v>0</v>
      </c>
      <c r="AA63" s="90">
        <f t="shared" si="80"/>
        <v>0</v>
      </c>
      <c r="AB63" s="8" t="str">
        <f>IF(AND(Podsumowanie!E$7&lt;B63,SUM(AB$5:AB62)&lt;P62),1," ")</f>
        <v xml:space="preserve"> </v>
      </c>
      <c r="AD63" s="51">
        <f>IF(OR(B63&lt;Podsumowanie!E$12,Podsumowanie!E$12=""),-F63+S63,0)</f>
        <v>0</v>
      </c>
      <c r="AE63" s="51">
        <f t="shared" si="22"/>
        <v>0</v>
      </c>
      <c r="AG63" s="10">
        <f>Podsumowanie!E$4-SUM(AI$5:AI62)+SUM(W$42:W63)-SUM(X$42:X63)</f>
        <v>181357.6981355522</v>
      </c>
      <c r="AH63" s="10">
        <f t="shared" si="62"/>
        <v>0</v>
      </c>
      <c r="AI63" s="10">
        <f t="shared" si="63"/>
        <v>0</v>
      </c>
      <c r="AJ63" s="10">
        <f t="shared" si="64"/>
        <v>0</v>
      </c>
      <c r="AK63" s="10">
        <f t="shared" si="65"/>
        <v>0</v>
      </c>
      <c r="AL63" s="10">
        <f>Podsumowanie!E$2-SUM(AN$5:AN62)+SUM(R$42:R63)-SUM(S$42:S63)</f>
        <v>400000</v>
      </c>
      <c r="AM63" s="10">
        <f t="shared" si="66"/>
        <v>0</v>
      </c>
      <c r="AN63" s="10">
        <f t="shared" si="67"/>
        <v>0</v>
      </c>
      <c r="AO63" s="10">
        <f t="shared" si="68"/>
        <v>0</v>
      </c>
      <c r="AP63" s="10">
        <f t="shared" si="69"/>
        <v>0</v>
      </c>
      <c r="AR63" s="43">
        <f t="shared" si="70"/>
        <v>39022</v>
      </c>
      <c r="AS63" s="11">
        <f>AS$5+SUM(AV$5:AV62)-SUM(X$5:X63)+SUM(W$5:W63)</f>
        <v>175916.96719148563</v>
      </c>
      <c r="AT63" s="10">
        <f t="shared" si="71"/>
        <v>0</v>
      </c>
      <c r="AU63" s="10">
        <f>IF(AB63=1,IF(Q63="tak",AT63,PMT(M63/12,P63+1-SUM(AB$5:AB63),AS63)),0)</f>
        <v>0</v>
      </c>
      <c r="AV63" s="10">
        <f t="shared" si="72"/>
        <v>0</v>
      </c>
      <c r="AW63" s="10">
        <f t="shared" si="73"/>
        <v>0</v>
      </c>
      <c r="AY63" s="11">
        <f>AY$5+SUM(BA$5:BA62)+SUM(W$5:W62)-SUM(X$5:X62)</f>
        <v>175916.96719148563</v>
      </c>
      <c r="AZ63" s="11">
        <f t="shared" si="74"/>
        <v>0</v>
      </c>
      <c r="BA63" s="11">
        <f t="shared" si="75"/>
        <v>0</v>
      </c>
      <c r="BB63" s="11">
        <f t="shared" si="76"/>
        <v>0</v>
      </c>
      <c r="BC63" s="11">
        <f t="shared" si="77"/>
        <v>0</v>
      </c>
      <c r="BE63" s="172">
        <f t="shared" si="4"/>
        <v>0.042</v>
      </c>
      <c r="BF63" s="44">
        <f>BE63+Podsumowanie!$E$6</f>
        <v>0.054000000000000006</v>
      </c>
      <c r="BG63" s="11">
        <f>BG$5+SUM(BH$5:BH62)+SUM(R$5:R62)-SUM(S$5:S62)</f>
        <v>400000</v>
      </c>
      <c r="BH63" s="10">
        <f t="shared" si="81"/>
        <v>0</v>
      </c>
      <c r="BI63" s="10">
        <f t="shared" si="79"/>
        <v>0</v>
      </c>
      <c r="BJ63" s="10">
        <f>IF(U63&lt;0,PMT(BF63/12,Podsumowanie!E$8-SUM(AB$5:AB63)+1,BG63),0)</f>
        <v>0</v>
      </c>
      <c r="BL63" s="11">
        <f>BL$5+SUM(BN$5:BN62)+SUM(R$5:R62)-SUM(S$5:S62)</f>
        <v>400000</v>
      </c>
      <c r="BM63" s="11">
        <f t="shared" si="5"/>
        <v>0</v>
      </c>
      <c r="BN63" s="11">
        <f t="shared" si="6"/>
        <v>0</v>
      </c>
      <c r="BO63" s="11">
        <f t="shared" si="7"/>
        <v>0</v>
      </c>
      <c r="BQ63" s="44">
        <f t="shared" si="8"/>
        <v>0.0541</v>
      </c>
      <c r="BR63" s="11">
        <f>BR$5+SUM(BS$5:BS62)+SUM(R$5:R62)-SUM(S$5:S62)+SUM(BV$5:BV62)</f>
        <v>400000</v>
      </c>
      <c r="BS63" s="10">
        <f t="shared" si="46"/>
        <v>0</v>
      </c>
      <c r="BT63" s="10">
        <f t="shared" si="47"/>
        <v>0</v>
      </c>
      <c r="BU63" s="10">
        <f>IF(U63&lt;0,PMT(BQ63/12,Podsumowanie!E$8-SUM(AB$5:AB63)+1,BR63),0)</f>
        <v>0</v>
      </c>
      <c r="BV63" s="10">
        <f t="shared" si="41"/>
        <v>0</v>
      </c>
      <c r="BX63" s="11">
        <f>BX$5+SUM(BZ$5:BZ62)+SUM(R$5:R62)-SUM(S$5:S62)+SUM(CB$5,CB62)</f>
        <v>400000</v>
      </c>
      <c r="BY63" s="10">
        <f t="shared" si="9"/>
        <v>0</v>
      </c>
      <c r="BZ63" s="10">
        <f t="shared" si="10"/>
        <v>0</v>
      </c>
      <c r="CA63" s="10">
        <f t="shared" si="48"/>
        <v>0</v>
      </c>
      <c r="CB63" s="10">
        <f t="shared" si="49"/>
        <v>0</v>
      </c>
      <c r="CD63" s="10">
        <f>CD$5+SUM(CE$5:CE62)+SUM(R$5:R62)-SUM(S$5:S62)-SUM(CF$5:CF62)</f>
        <v>400000</v>
      </c>
      <c r="CE63" s="10">
        <f t="shared" si="42"/>
        <v>0</v>
      </c>
      <c r="CF63" s="10">
        <f t="shared" si="43"/>
        <v>0</v>
      </c>
      <c r="CG63" s="10">
        <f t="shared" si="44"/>
        <v>0</v>
      </c>
      <c r="CI63" s="44">
        <v>0.8083</v>
      </c>
      <c r="CJ63" s="10">
        <f t="shared" si="45"/>
        <v>0</v>
      </c>
      <c r="CK63" s="4">
        <f t="shared" si="50"/>
        <v>0</v>
      </c>
      <c r="CM63" s="10">
        <f t="shared" si="51"/>
        <v>0</v>
      </c>
      <c r="CN63" s="4">
        <f t="shared" si="52"/>
        <v>0</v>
      </c>
    </row>
    <row r="64" spans="1:92" ht="15.75">
      <c r="A64" s="36"/>
      <c r="B64" s="37">
        <v>39052</v>
      </c>
      <c r="C64" s="77">
        <f t="shared" si="1"/>
        <v>2.3874</v>
      </c>
      <c r="D64" s="78">
        <f>C64*(1+Podsumowanie!E$11)</f>
        <v>2.459022</v>
      </c>
      <c r="E64" s="34">
        <f t="shared" si="53"/>
        <v>0</v>
      </c>
      <c r="F64" s="7">
        <f t="shared" si="82"/>
        <v>0</v>
      </c>
      <c r="G64" s="7">
        <f t="shared" si="55"/>
        <v>0</v>
      </c>
      <c r="H64" s="7">
        <f t="shared" si="83"/>
        <v>0</v>
      </c>
      <c r="I64" s="32"/>
      <c r="J64" s="4" t="str">
        <f t="shared" si="57"/>
        <v xml:space="preserve"> </v>
      </c>
      <c r="K64" s="4">
        <f>IF(B64&lt;Podsumowanie!E$7,0,K63+1)</f>
        <v>0</v>
      </c>
      <c r="L64" s="100">
        <f t="shared" si="2"/>
        <v>0.0194</v>
      </c>
      <c r="M64" s="38">
        <f>L64+Podsumowanie!E$6</f>
        <v>0.0314</v>
      </c>
      <c r="N64" s="101">
        <f>MAX(Podsumowanie!E$4+SUM(AA$5:AA63)-SUM(X$5:X64)+SUM(W$5:W64),0)</f>
        <v>181357.6981355522</v>
      </c>
      <c r="O64" s="102">
        <f>MAX(Podsumowanie!E$2+SUM(V$5:V63)-SUM(S$5:S64)+SUM(R$5:R64),0)</f>
        <v>400000</v>
      </c>
      <c r="P64" s="39">
        <f t="shared" si="58"/>
        <v>360</v>
      </c>
      <c r="Q64" s="40" t="str">
        <f>IF(AND(K64&gt;0,K64&lt;=Podsumowanie!E$9),"tak","nie")</f>
        <v>nie</v>
      </c>
      <c r="R64" s="41"/>
      <c r="S64" s="42"/>
      <c r="T64" s="88">
        <f t="shared" si="59"/>
        <v>0</v>
      </c>
      <c r="U64" s="89">
        <f>IF(Q64="tak",T64,IF(P64-SUM(AB$5:AB64)+1&gt;0,IF(Podsumowanie!E$7&lt;B64,IF(SUM(AB$5:AB64)-Podsumowanie!E$9+1&gt;0,PMT(M64/12,P64+1-SUM(AB$5:AB64),O64),T64),0),0))</f>
        <v>0</v>
      </c>
      <c r="V64" s="89">
        <f t="shared" si="84"/>
        <v>0</v>
      </c>
      <c r="W64" s="90" t="str">
        <f>IF(R64&gt;0,R64/(C64*(1-Podsumowanie!E$11))," ")</f>
        <v xml:space="preserve"> </v>
      </c>
      <c r="X64" s="90">
        <f t="shared" si="19"/>
        <v>0</v>
      </c>
      <c r="Y64" s="91">
        <f t="shared" si="3"/>
        <v>0</v>
      </c>
      <c r="Z64" s="90">
        <f>IF(P64-SUM(AB$5:AB64)+1&gt;0,IF(Podsumowanie!E$7&lt;B64,IF(SUM(AB$5:AB64)-Podsumowanie!E$9+1&gt;0,PMT(M64/12,P64+1-SUM(AB$5:AB64),N64),Y64),0),0)</f>
        <v>0</v>
      </c>
      <c r="AA64" s="90">
        <f t="shared" si="80"/>
        <v>0</v>
      </c>
      <c r="AB64" s="8" t="str">
        <f>IF(AND(Podsumowanie!E$7&lt;B64,SUM(AB$5:AB63)&lt;P63),1," ")</f>
        <v xml:space="preserve"> </v>
      </c>
      <c r="AD64" s="51">
        <f>IF(OR(B64&lt;Podsumowanie!E$12,Podsumowanie!E$12=""),-F64+S64,0)</f>
        <v>0</v>
      </c>
      <c r="AE64" s="51">
        <f t="shared" si="22"/>
        <v>0</v>
      </c>
      <c r="AG64" s="10">
        <f>Podsumowanie!E$4-SUM(AI$5:AI63)+SUM(W$42:W64)-SUM(X$42:X64)</f>
        <v>181357.6981355522</v>
      </c>
      <c r="AH64" s="10">
        <f t="shared" si="62"/>
        <v>0</v>
      </c>
      <c r="AI64" s="10">
        <f t="shared" si="63"/>
        <v>0</v>
      </c>
      <c r="AJ64" s="10">
        <f t="shared" si="64"/>
        <v>0</v>
      </c>
      <c r="AK64" s="10">
        <f t="shared" si="65"/>
        <v>0</v>
      </c>
      <c r="AL64" s="10">
        <f>Podsumowanie!E$2-SUM(AN$5:AN63)+SUM(R$42:R64)-SUM(S$42:S64)</f>
        <v>400000</v>
      </c>
      <c r="AM64" s="10">
        <f t="shared" si="66"/>
        <v>0</v>
      </c>
      <c r="AN64" s="10">
        <f t="shared" si="67"/>
        <v>0</v>
      </c>
      <c r="AO64" s="10">
        <f t="shared" si="68"/>
        <v>0</v>
      </c>
      <c r="AP64" s="10">
        <f t="shared" si="69"/>
        <v>0</v>
      </c>
      <c r="AR64" s="43">
        <f t="shared" si="70"/>
        <v>39052</v>
      </c>
      <c r="AS64" s="11">
        <f>AS$5+SUM(AV$5:AV63)-SUM(X$5:X64)+SUM(W$5:W64)</f>
        <v>175916.96719148563</v>
      </c>
      <c r="AT64" s="10">
        <f t="shared" si="71"/>
        <v>0</v>
      </c>
      <c r="AU64" s="10">
        <f>IF(AB64=1,IF(Q64="tak",AT64,PMT(M64/12,P64+1-SUM(AB$5:AB64),AS64)),0)</f>
        <v>0</v>
      </c>
      <c r="AV64" s="10">
        <f t="shared" si="72"/>
        <v>0</v>
      </c>
      <c r="AW64" s="10">
        <f t="shared" si="73"/>
        <v>0</v>
      </c>
      <c r="AY64" s="11">
        <f>AY$5+SUM(BA$5:BA63)+SUM(W$5:W63)-SUM(X$5:X63)</f>
        <v>175916.96719148563</v>
      </c>
      <c r="AZ64" s="11">
        <f t="shared" si="74"/>
        <v>0</v>
      </c>
      <c r="BA64" s="11">
        <f t="shared" si="75"/>
        <v>0</v>
      </c>
      <c r="BB64" s="11">
        <f t="shared" si="76"/>
        <v>0</v>
      </c>
      <c r="BC64" s="11">
        <f t="shared" si="77"/>
        <v>0</v>
      </c>
      <c r="BE64" s="172">
        <f t="shared" si="4"/>
        <v>0.042</v>
      </c>
      <c r="BF64" s="44">
        <f>BE64+Podsumowanie!$E$6</f>
        <v>0.054000000000000006</v>
      </c>
      <c r="BG64" s="11">
        <f>BG$5+SUM(BH$5:BH63)+SUM(R$5:R63)-SUM(S$5:S63)</f>
        <v>400000</v>
      </c>
      <c r="BH64" s="10">
        <f t="shared" si="81"/>
        <v>0</v>
      </c>
      <c r="BI64" s="10">
        <f t="shared" si="79"/>
        <v>0</v>
      </c>
      <c r="BJ64" s="10">
        <f>IF(U64&lt;0,PMT(BF64/12,Podsumowanie!E$8-SUM(AB$5:AB64)+1,BG64),0)</f>
        <v>0</v>
      </c>
      <c r="BL64" s="11">
        <f>BL$5+SUM(BN$5:BN63)+SUM(R$5:R63)-SUM(S$5:S63)</f>
        <v>400000</v>
      </c>
      <c r="BM64" s="11">
        <f t="shared" si="5"/>
        <v>0</v>
      </c>
      <c r="BN64" s="11">
        <f t="shared" si="6"/>
        <v>0</v>
      </c>
      <c r="BO64" s="11">
        <f t="shared" si="7"/>
        <v>0</v>
      </c>
      <c r="BQ64" s="44">
        <f t="shared" si="8"/>
        <v>0.0541</v>
      </c>
      <c r="BR64" s="11">
        <f>BR$5+SUM(BS$5:BS63)+SUM(R$5:R63)-SUM(S$5:S63)+SUM(BV$5:BV63)</f>
        <v>400000</v>
      </c>
      <c r="BS64" s="10">
        <f t="shared" si="46"/>
        <v>0</v>
      </c>
      <c r="BT64" s="10">
        <f t="shared" si="47"/>
        <v>0</v>
      </c>
      <c r="BU64" s="10">
        <f>IF(U64&lt;0,PMT(BQ64/12,Podsumowanie!E$8-SUM(AB$5:AB64)+1,BR64),0)</f>
        <v>0</v>
      </c>
      <c r="BV64" s="10">
        <f t="shared" si="41"/>
        <v>0</v>
      </c>
      <c r="BX64" s="11">
        <f>BX$5+SUM(BZ$5:BZ63)+SUM(R$5:R63)-SUM(S$5:S63)+SUM(CB$5,CB63)</f>
        <v>400000</v>
      </c>
      <c r="BY64" s="10">
        <f t="shared" si="9"/>
        <v>0</v>
      </c>
      <c r="BZ64" s="10">
        <f t="shared" si="10"/>
        <v>0</v>
      </c>
      <c r="CA64" s="10">
        <f t="shared" si="48"/>
        <v>0</v>
      </c>
      <c r="CB64" s="10">
        <f t="shared" si="49"/>
        <v>0</v>
      </c>
      <c r="CD64" s="10">
        <f>CD$5+SUM(CE$5:CE63)+SUM(R$5:R63)-SUM(S$5:S63)-SUM(CF$5:CF63)</f>
        <v>400000</v>
      </c>
      <c r="CE64" s="10">
        <f t="shared" si="42"/>
        <v>0</v>
      </c>
      <c r="CF64" s="10">
        <f t="shared" si="43"/>
        <v>0</v>
      </c>
      <c r="CG64" s="10">
        <f t="shared" si="44"/>
        <v>0</v>
      </c>
      <c r="CI64" s="44">
        <v>0.8083</v>
      </c>
      <c r="CJ64" s="10">
        <f t="shared" si="45"/>
        <v>0</v>
      </c>
      <c r="CK64" s="4">
        <f t="shared" si="50"/>
        <v>0</v>
      </c>
      <c r="CM64" s="10">
        <f t="shared" si="51"/>
        <v>0</v>
      </c>
      <c r="CN64" s="4">
        <f t="shared" si="52"/>
        <v>0</v>
      </c>
    </row>
    <row r="65" spans="1:92" ht="15.75">
      <c r="A65" s="36">
        <v>2007</v>
      </c>
      <c r="B65" s="37">
        <v>39083</v>
      </c>
      <c r="C65" s="77">
        <f t="shared" si="1"/>
        <v>2.4015</v>
      </c>
      <c r="D65" s="78">
        <f>C65*(1+Podsumowanie!E$11)</f>
        <v>2.473545</v>
      </c>
      <c r="E65" s="34">
        <f t="shared" si="53"/>
        <v>0</v>
      </c>
      <c r="F65" s="7">
        <f t="shared" si="82"/>
        <v>0</v>
      </c>
      <c r="G65" s="7">
        <f t="shared" si="55"/>
        <v>0</v>
      </c>
      <c r="H65" s="7">
        <f t="shared" si="83"/>
        <v>0</v>
      </c>
      <c r="I65" s="32"/>
      <c r="J65" s="4" t="str">
        <f t="shared" si="57"/>
        <v xml:space="preserve"> </v>
      </c>
      <c r="K65" s="4">
        <f>IF(B65&lt;Podsumowanie!E$7,0,K64+1)</f>
        <v>0</v>
      </c>
      <c r="L65" s="100">
        <f t="shared" si="2"/>
        <v>0.021</v>
      </c>
      <c r="M65" s="38">
        <f>L65+Podsumowanie!E$6</f>
        <v>0.033</v>
      </c>
      <c r="N65" s="101">
        <f>MAX(Podsumowanie!E$4+SUM(AA$5:AA64)-SUM(X$5:X65)+SUM(W$5:W65),0)</f>
        <v>181357.6981355522</v>
      </c>
      <c r="O65" s="102">
        <f>MAX(Podsumowanie!E$2+SUM(V$5:V64)-SUM(S$5:S65)+SUM(R$5:R65),0)</f>
        <v>400000</v>
      </c>
      <c r="P65" s="39">
        <f t="shared" si="58"/>
        <v>360</v>
      </c>
      <c r="Q65" s="40" t="str">
        <f>IF(AND(K65&gt;0,K65&lt;=Podsumowanie!E$9),"tak","nie")</f>
        <v>nie</v>
      </c>
      <c r="R65" s="41"/>
      <c r="S65" s="42"/>
      <c r="T65" s="88">
        <f t="shared" si="59"/>
        <v>0</v>
      </c>
      <c r="U65" s="89">
        <f>IF(Q65="tak",T65,IF(P65-SUM(AB$5:AB65)+1&gt;0,IF(Podsumowanie!E$7&lt;B65,IF(SUM(AB$5:AB65)-Podsumowanie!E$9+1&gt;0,PMT(M65/12,P65+1-SUM(AB$5:AB65),O65),T65),0),0))</f>
        <v>0</v>
      </c>
      <c r="V65" s="89">
        <f t="shared" si="84"/>
        <v>0</v>
      </c>
      <c r="W65" s="90" t="str">
        <f>IF(R65&gt;0,R65/(C65*(1-Podsumowanie!E$11))," ")</f>
        <v xml:space="preserve"> </v>
      </c>
      <c r="X65" s="90">
        <f t="shared" si="19"/>
        <v>0</v>
      </c>
      <c r="Y65" s="91">
        <f t="shared" si="3"/>
        <v>0</v>
      </c>
      <c r="Z65" s="90">
        <f>IF(P65-SUM(AB$5:AB65)+1&gt;0,IF(Podsumowanie!E$7&lt;B65,IF(SUM(AB$5:AB65)-Podsumowanie!E$9+1&gt;0,PMT(M65/12,P65+1-SUM(AB$5:AB65),N65),Y65),0),0)</f>
        <v>0</v>
      </c>
      <c r="AA65" s="90">
        <f t="shared" si="80"/>
        <v>0</v>
      </c>
      <c r="AB65" s="8" t="str">
        <f>IF(AND(Podsumowanie!E$7&lt;B65,SUM(AB$5:AB64)&lt;P64),1," ")</f>
        <v xml:space="preserve"> </v>
      </c>
      <c r="AD65" s="51">
        <f>IF(OR(B65&lt;Podsumowanie!E$12,Podsumowanie!E$12=""),-F65+S65,0)</f>
        <v>0</v>
      </c>
      <c r="AE65" s="51">
        <f t="shared" si="22"/>
        <v>0</v>
      </c>
      <c r="AG65" s="10">
        <f>Podsumowanie!E$4-SUM(AI$5:AI64)+SUM(W$42:W65)-SUM(X$42:X65)</f>
        <v>181357.6981355522</v>
      </c>
      <c r="AH65" s="10">
        <f t="shared" si="62"/>
        <v>0</v>
      </c>
      <c r="AI65" s="10">
        <f t="shared" si="63"/>
        <v>0</v>
      </c>
      <c r="AJ65" s="10">
        <f t="shared" si="64"/>
        <v>0</v>
      </c>
      <c r="AK65" s="10">
        <f t="shared" si="65"/>
        <v>0</v>
      </c>
      <c r="AL65" s="10">
        <f>Podsumowanie!E$2-SUM(AN$5:AN64)+SUM(R$42:R65)-SUM(S$42:S65)</f>
        <v>400000</v>
      </c>
      <c r="AM65" s="10">
        <f t="shared" si="66"/>
        <v>0</v>
      </c>
      <c r="AN65" s="10">
        <f t="shared" si="67"/>
        <v>0</v>
      </c>
      <c r="AO65" s="10">
        <f t="shared" si="68"/>
        <v>0</v>
      </c>
      <c r="AP65" s="10">
        <f t="shared" si="69"/>
        <v>0</v>
      </c>
      <c r="AR65" s="43">
        <f t="shared" si="70"/>
        <v>39083</v>
      </c>
      <c r="AS65" s="11">
        <f>AS$5+SUM(AV$5:AV64)-SUM(X$5:X65)+SUM(W$5:W65)</f>
        <v>175916.96719148563</v>
      </c>
      <c r="AT65" s="10">
        <f t="shared" si="71"/>
        <v>0</v>
      </c>
      <c r="AU65" s="10">
        <f>IF(AB65=1,IF(Q65="tak",AT65,PMT(M65/12,P65+1-SUM(AB$5:AB65),AS65)),0)</f>
        <v>0</v>
      </c>
      <c r="AV65" s="10">
        <f t="shared" si="72"/>
        <v>0</v>
      </c>
      <c r="AW65" s="10">
        <f t="shared" si="73"/>
        <v>0</v>
      </c>
      <c r="AY65" s="11">
        <f>AY$5+SUM(BA$5:BA64)+SUM(W$5:W64)-SUM(X$5:X64)</f>
        <v>175916.96719148563</v>
      </c>
      <c r="AZ65" s="11">
        <f t="shared" si="74"/>
        <v>0</v>
      </c>
      <c r="BA65" s="11">
        <f t="shared" si="75"/>
        <v>0</v>
      </c>
      <c r="BB65" s="11">
        <f t="shared" si="76"/>
        <v>0</v>
      </c>
      <c r="BC65" s="11">
        <f t="shared" si="77"/>
        <v>0</v>
      </c>
      <c r="BE65" s="172">
        <f t="shared" si="4"/>
        <v>0.042</v>
      </c>
      <c r="BF65" s="44">
        <f>BE65+Podsumowanie!$E$6</f>
        <v>0.054000000000000006</v>
      </c>
      <c r="BG65" s="11">
        <f>BG$5+SUM(BH$5:BH64)+SUM(R$5:R64)-SUM(S$5:S64)</f>
        <v>400000</v>
      </c>
      <c r="BH65" s="10">
        <f t="shared" si="81"/>
        <v>0</v>
      </c>
      <c r="BI65" s="10">
        <f t="shared" si="79"/>
        <v>0</v>
      </c>
      <c r="BJ65" s="10">
        <f>IF(U65&lt;0,PMT(BF65/12,Podsumowanie!E$8-SUM(AB$5:AB65)+1,BG65),0)</f>
        <v>0</v>
      </c>
      <c r="BL65" s="11">
        <f>BL$5+SUM(BN$5:BN64)+SUM(R$5:R64)-SUM(S$5:S64)</f>
        <v>400000</v>
      </c>
      <c r="BM65" s="11">
        <f t="shared" si="5"/>
        <v>0</v>
      </c>
      <c r="BN65" s="11">
        <f t="shared" si="6"/>
        <v>0</v>
      </c>
      <c r="BO65" s="11">
        <f t="shared" si="7"/>
        <v>0</v>
      </c>
      <c r="BQ65" s="44">
        <f t="shared" si="8"/>
        <v>0.0541</v>
      </c>
      <c r="BR65" s="11">
        <f>BR$5+SUM(BS$5:BS64)+SUM(R$5:R64)-SUM(S$5:S64)+SUM(BV$5:BV64)</f>
        <v>400000</v>
      </c>
      <c r="BS65" s="10">
        <f t="shared" si="46"/>
        <v>0</v>
      </c>
      <c r="BT65" s="10">
        <f t="shared" si="47"/>
        <v>0</v>
      </c>
      <c r="BU65" s="10">
        <f>IF(U65&lt;0,PMT(BQ65/12,Podsumowanie!E$8-SUM(AB$5:AB65)+1,BR65),0)</f>
        <v>0</v>
      </c>
      <c r="BV65" s="10">
        <f t="shared" si="41"/>
        <v>0</v>
      </c>
      <c r="BX65" s="11">
        <f>BX$5+SUM(BZ$5:BZ64)+SUM(R$5:R64)-SUM(S$5:S64)+SUM(CB$5,CB64)</f>
        <v>400000</v>
      </c>
      <c r="BY65" s="10">
        <f t="shared" si="9"/>
        <v>0</v>
      </c>
      <c r="BZ65" s="10">
        <f t="shared" si="10"/>
        <v>0</v>
      </c>
      <c r="CA65" s="10">
        <f t="shared" si="48"/>
        <v>0</v>
      </c>
      <c r="CB65" s="10">
        <f t="shared" si="49"/>
        <v>0</v>
      </c>
      <c r="CD65" s="10">
        <f>CD$5+SUM(CE$5:CE64)+SUM(R$5:R64)-SUM(S$5:S64)-SUM(CF$5:CF64)</f>
        <v>400000</v>
      </c>
      <c r="CE65" s="10">
        <f t="shared" si="42"/>
        <v>0</v>
      </c>
      <c r="CF65" s="10">
        <f t="shared" si="43"/>
        <v>0</v>
      </c>
      <c r="CG65" s="10">
        <f t="shared" si="44"/>
        <v>0</v>
      </c>
      <c r="CI65" s="44">
        <v>0.8119</v>
      </c>
      <c r="CJ65" s="10">
        <f t="shared" si="45"/>
        <v>0</v>
      </c>
      <c r="CK65" s="4">
        <f t="shared" si="50"/>
        <v>0</v>
      </c>
      <c r="CM65" s="10">
        <f t="shared" si="51"/>
        <v>0</v>
      </c>
      <c r="CN65" s="4">
        <f t="shared" si="52"/>
        <v>0</v>
      </c>
    </row>
    <row r="66" spans="1:92" ht="15.75">
      <c r="A66" s="36"/>
      <c r="B66" s="37">
        <v>39114</v>
      </c>
      <c r="C66" s="77">
        <f t="shared" si="1"/>
        <v>2.4018</v>
      </c>
      <c r="D66" s="78">
        <f>C66*(1+Podsumowanie!E$11)</f>
        <v>2.473854</v>
      </c>
      <c r="E66" s="34">
        <f t="shared" si="53"/>
        <v>0</v>
      </c>
      <c r="F66" s="7">
        <f t="shared" si="82"/>
        <v>0</v>
      </c>
      <c r="G66" s="7">
        <f t="shared" si="55"/>
        <v>0</v>
      </c>
      <c r="H66" s="7">
        <f t="shared" si="83"/>
        <v>0</v>
      </c>
      <c r="I66" s="32"/>
      <c r="J66" s="4" t="str">
        <f t="shared" si="57"/>
        <v xml:space="preserve"> </v>
      </c>
      <c r="K66" s="4">
        <f>IF(B66&lt;Podsumowanie!E$7,0,K65+1)</f>
        <v>0</v>
      </c>
      <c r="L66" s="100">
        <f t="shared" si="2"/>
        <v>0.021</v>
      </c>
      <c r="M66" s="38">
        <f>L66+Podsumowanie!E$6</f>
        <v>0.033</v>
      </c>
      <c r="N66" s="101">
        <f>MAX(Podsumowanie!E$4+SUM(AA$5:AA65)-SUM(X$5:X66)+SUM(W$5:W66),0)</f>
        <v>181357.6981355522</v>
      </c>
      <c r="O66" s="102">
        <f>MAX(Podsumowanie!E$2+SUM(V$5:V65)-SUM(S$5:S66)+SUM(R$5:R66),0)</f>
        <v>400000</v>
      </c>
      <c r="P66" s="39">
        <f t="shared" si="58"/>
        <v>360</v>
      </c>
      <c r="Q66" s="40" t="str">
        <f>IF(AND(K66&gt;0,K66&lt;=Podsumowanie!E$9),"tak","nie")</f>
        <v>nie</v>
      </c>
      <c r="R66" s="41"/>
      <c r="S66" s="42"/>
      <c r="T66" s="88">
        <f t="shared" si="59"/>
        <v>0</v>
      </c>
      <c r="U66" s="89">
        <f>IF(Q66="tak",T66,IF(P66-SUM(AB$5:AB66)+1&gt;0,IF(Podsumowanie!E$7&lt;B66,IF(SUM(AB$5:AB66)-Podsumowanie!E$9+1&gt;0,PMT(M66/12,P66+1-SUM(AB$5:AB66),O66),T66),0),0))</f>
        <v>0</v>
      </c>
      <c r="V66" s="89">
        <f t="shared" si="84"/>
        <v>0</v>
      </c>
      <c r="W66" s="90" t="str">
        <f>IF(R66&gt;0,R66/(C66*(1-Podsumowanie!E$11))," ")</f>
        <v xml:space="preserve"> </v>
      </c>
      <c r="X66" s="90">
        <f t="shared" si="19"/>
        <v>0</v>
      </c>
      <c r="Y66" s="91">
        <f t="shared" si="3"/>
        <v>0</v>
      </c>
      <c r="Z66" s="90">
        <f>IF(P66-SUM(AB$5:AB66)+1&gt;0,IF(Podsumowanie!E$7&lt;B66,IF(SUM(AB$5:AB66)-Podsumowanie!E$9+1&gt;0,PMT(M66/12,P66+1-SUM(AB$5:AB66),N66),Y66),0),0)</f>
        <v>0</v>
      </c>
      <c r="AA66" s="90">
        <f t="shared" si="80"/>
        <v>0</v>
      </c>
      <c r="AB66" s="8" t="str">
        <f>IF(AND(Podsumowanie!E$7&lt;B66,SUM(AB$5:AB65)&lt;P65),1," ")</f>
        <v xml:space="preserve"> </v>
      </c>
      <c r="AD66" s="51">
        <f>IF(OR(B66&lt;Podsumowanie!E$12,Podsumowanie!E$12=""),-F66+S66,0)</f>
        <v>0</v>
      </c>
      <c r="AE66" s="51">
        <f t="shared" si="22"/>
        <v>0</v>
      </c>
      <c r="AG66" s="10">
        <f>Podsumowanie!E$4-SUM(AI$5:AI65)+SUM(W$42:W66)-SUM(X$42:X66)</f>
        <v>181357.6981355522</v>
      </c>
      <c r="AH66" s="10">
        <f t="shared" si="62"/>
        <v>0</v>
      </c>
      <c r="AI66" s="10">
        <f t="shared" si="63"/>
        <v>0</v>
      </c>
      <c r="AJ66" s="10">
        <f t="shared" si="64"/>
        <v>0</v>
      </c>
      <c r="AK66" s="10">
        <f t="shared" si="65"/>
        <v>0</v>
      </c>
      <c r="AL66" s="10">
        <f>Podsumowanie!E$2-SUM(AN$5:AN65)+SUM(R$42:R66)-SUM(S$42:S66)</f>
        <v>400000</v>
      </c>
      <c r="AM66" s="10">
        <f t="shared" si="66"/>
        <v>0</v>
      </c>
      <c r="AN66" s="10">
        <f t="shared" si="67"/>
        <v>0</v>
      </c>
      <c r="AO66" s="10">
        <f t="shared" si="68"/>
        <v>0</v>
      </c>
      <c r="AP66" s="10">
        <f t="shared" si="69"/>
        <v>0</v>
      </c>
      <c r="AR66" s="43">
        <f t="shared" si="70"/>
        <v>39114</v>
      </c>
      <c r="AS66" s="11">
        <f>AS$5+SUM(AV$5:AV65)-SUM(X$5:X66)+SUM(W$5:W66)</f>
        <v>175916.96719148563</v>
      </c>
      <c r="AT66" s="10">
        <f t="shared" si="71"/>
        <v>0</v>
      </c>
      <c r="AU66" s="10">
        <f>IF(AB66=1,IF(Q66="tak",AT66,PMT(M66/12,P66+1-SUM(AB$5:AB66),AS66)),0)</f>
        <v>0</v>
      </c>
      <c r="AV66" s="10">
        <f t="shared" si="72"/>
        <v>0</v>
      </c>
      <c r="AW66" s="10">
        <f t="shared" si="73"/>
        <v>0</v>
      </c>
      <c r="AY66" s="11">
        <f>AY$5+SUM(BA$5:BA65)+SUM(W$5:W65)-SUM(X$5:X65)</f>
        <v>175916.96719148563</v>
      </c>
      <c r="AZ66" s="11">
        <f t="shared" si="74"/>
        <v>0</v>
      </c>
      <c r="BA66" s="11">
        <f t="shared" si="75"/>
        <v>0</v>
      </c>
      <c r="BB66" s="11">
        <f t="shared" si="76"/>
        <v>0</v>
      </c>
      <c r="BC66" s="11">
        <f t="shared" si="77"/>
        <v>0</v>
      </c>
      <c r="BE66" s="172">
        <f t="shared" si="4"/>
        <v>0.042</v>
      </c>
      <c r="BF66" s="44">
        <f>BE66+Podsumowanie!$E$6</f>
        <v>0.054000000000000006</v>
      </c>
      <c r="BG66" s="11">
        <f>BG$5+SUM(BH$5:BH65)+SUM(R$5:R65)-SUM(S$5:S65)</f>
        <v>400000</v>
      </c>
      <c r="BH66" s="10">
        <f t="shared" si="81"/>
        <v>0</v>
      </c>
      <c r="BI66" s="10">
        <f t="shared" si="79"/>
        <v>0</v>
      </c>
      <c r="BJ66" s="10">
        <f>IF(U66&lt;0,PMT(BF66/12,Podsumowanie!E$8-SUM(AB$5:AB66)+1,BG66),0)</f>
        <v>0</v>
      </c>
      <c r="BL66" s="11">
        <f>BL$5+SUM(BN$5:BN65)+SUM(R$5:R65)-SUM(S$5:S65)</f>
        <v>400000</v>
      </c>
      <c r="BM66" s="11">
        <f t="shared" si="5"/>
        <v>0</v>
      </c>
      <c r="BN66" s="11">
        <f t="shared" si="6"/>
        <v>0</v>
      </c>
      <c r="BO66" s="11">
        <f t="shared" si="7"/>
        <v>0</v>
      </c>
      <c r="BQ66" s="44">
        <f t="shared" si="8"/>
        <v>0.0541</v>
      </c>
      <c r="BR66" s="11">
        <f>BR$5+SUM(BS$5:BS65)+SUM(R$5:R65)-SUM(S$5:S65)+SUM(BV$5:BV65)</f>
        <v>400000</v>
      </c>
      <c r="BS66" s="10">
        <f t="shared" si="46"/>
        <v>0</v>
      </c>
      <c r="BT66" s="10">
        <f t="shared" si="47"/>
        <v>0</v>
      </c>
      <c r="BU66" s="10">
        <f>IF(U66&lt;0,PMT(BQ66/12,Podsumowanie!E$8-SUM(AB$5:AB66)+1,BR66),0)</f>
        <v>0</v>
      </c>
      <c r="BV66" s="10">
        <f t="shared" si="41"/>
        <v>0</v>
      </c>
      <c r="BX66" s="11">
        <f>BX$5+SUM(BZ$5:BZ65)+SUM(R$5:R65)-SUM(S$5:S65)+SUM(CB$5,CB65)</f>
        <v>400000</v>
      </c>
      <c r="BY66" s="10">
        <f t="shared" si="9"/>
        <v>0</v>
      </c>
      <c r="BZ66" s="10">
        <f t="shared" si="10"/>
        <v>0</v>
      </c>
      <c r="CA66" s="10">
        <f t="shared" si="48"/>
        <v>0</v>
      </c>
      <c r="CB66" s="10">
        <f t="shared" si="49"/>
        <v>0</v>
      </c>
      <c r="CD66" s="10">
        <f>CD$5+SUM(CE$5:CE65)+SUM(R$5:R65)-SUM(S$5:S65)-SUM(CF$5:CF65)</f>
        <v>400000</v>
      </c>
      <c r="CE66" s="10">
        <f t="shared" si="42"/>
        <v>0</v>
      </c>
      <c r="CF66" s="10">
        <f t="shared" si="43"/>
        <v>0</v>
      </c>
      <c r="CG66" s="10">
        <f t="shared" si="44"/>
        <v>0</v>
      </c>
      <c r="CI66" s="44">
        <v>0.8047</v>
      </c>
      <c r="CJ66" s="10">
        <f t="shared" si="45"/>
        <v>0</v>
      </c>
      <c r="CK66" s="4">
        <f t="shared" si="50"/>
        <v>0</v>
      </c>
      <c r="CM66" s="10">
        <f t="shared" si="51"/>
        <v>0</v>
      </c>
      <c r="CN66" s="4">
        <f t="shared" si="52"/>
        <v>0</v>
      </c>
    </row>
    <row r="67" spans="1:92" ht="15.75">
      <c r="A67" s="36"/>
      <c r="B67" s="37">
        <v>39142</v>
      </c>
      <c r="C67" s="77">
        <f t="shared" si="1"/>
        <v>2.4101</v>
      </c>
      <c r="D67" s="78">
        <f>C67*(1+Podsumowanie!E$11)</f>
        <v>2.482403</v>
      </c>
      <c r="E67" s="34">
        <f t="shared" si="53"/>
        <v>0</v>
      </c>
      <c r="F67" s="7">
        <f t="shared" si="82"/>
        <v>0</v>
      </c>
      <c r="G67" s="7">
        <f t="shared" si="55"/>
        <v>0</v>
      </c>
      <c r="H67" s="7">
        <f t="shared" si="83"/>
        <v>0</v>
      </c>
      <c r="I67" s="32"/>
      <c r="J67" s="4" t="str">
        <f t="shared" si="57"/>
        <v xml:space="preserve"> </v>
      </c>
      <c r="K67" s="4">
        <f>IF(B67&lt;Podsumowanie!E$7,0,K66+1)</f>
        <v>0</v>
      </c>
      <c r="L67" s="100">
        <f t="shared" si="2"/>
        <v>0.0223</v>
      </c>
      <c r="M67" s="38">
        <f>L67+Podsumowanie!E$6</f>
        <v>0.0343</v>
      </c>
      <c r="N67" s="101">
        <f>MAX(Podsumowanie!E$4+SUM(AA$5:AA66)-SUM(X$5:X67)+SUM(W$5:W67),0)</f>
        <v>181357.6981355522</v>
      </c>
      <c r="O67" s="102">
        <f>MAX(Podsumowanie!E$2+SUM(V$5:V66)-SUM(S$5:S67)+SUM(R$5:R67),0)</f>
        <v>400000</v>
      </c>
      <c r="P67" s="39">
        <f t="shared" si="58"/>
        <v>360</v>
      </c>
      <c r="Q67" s="40" t="str">
        <f>IF(AND(K67&gt;0,K67&lt;=Podsumowanie!E$9),"tak","nie")</f>
        <v>nie</v>
      </c>
      <c r="R67" s="41"/>
      <c r="S67" s="42"/>
      <c r="T67" s="88">
        <f t="shared" si="59"/>
        <v>0</v>
      </c>
      <c r="U67" s="89">
        <f>IF(Q67="tak",T67,IF(P67-SUM(AB$5:AB67)+1&gt;0,IF(Podsumowanie!E$7&lt;B67,IF(SUM(AB$5:AB67)-Podsumowanie!E$9+1&gt;0,PMT(M67/12,P67+1-SUM(AB$5:AB67),O67),T67),0),0))</f>
        <v>0</v>
      </c>
      <c r="V67" s="89">
        <f t="shared" si="84"/>
        <v>0</v>
      </c>
      <c r="W67" s="90" t="str">
        <f>IF(R67&gt;0,R67/(C67*(1-Podsumowanie!E$11))," ")</f>
        <v xml:space="preserve"> </v>
      </c>
      <c r="X67" s="90">
        <f t="shared" si="19"/>
        <v>0</v>
      </c>
      <c r="Y67" s="91">
        <f t="shared" si="3"/>
        <v>0</v>
      </c>
      <c r="Z67" s="90">
        <f>IF(P67-SUM(AB$5:AB67)+1&gt;0,IF(Podsumowanie!E$7&lt;B67,IF(SUM(AB$5:AB67)-Podsumowanie!E$9+1&gt;0,PMT(M67/12,P67+1-SUM(AB$5:AB67),N67),Y67),0),0)</f>
        <v>0</v>
      </c>
      <c r="AA67" s="90">
        <f t="shared" si="80"/>
        <v>0</v>
      </c>
      <c r="AB67" s="8" t="str">
        <f>IF(AND(Podsumowanie!E$7&lt;B67,SUM(AB$5:AB66)&lt;P66),1," ")</f>
        <v xml:space="preserve"> </v>
      </c>
      <c r="AD67" s="51">
        <f>IF(OR(B67&lt;Podsumowanie!E$12,Podsumowanie!E$12=""),-F67+S67,0)</f>
        <v>0</v>
      </c>
      <c r="AE67" s="51">
        <f t="shared" si="22"/>
        <v>0</v>
      </c>
      <c r="AG67" s="10">
        <f>Podsumowanie!E$4-SUM(AI$5:AI66)+SUM(W$42:W67)-SUM(X$42:X67)</f>
        <v>181357.6981355522</v>
      </c>
      <c r="AH67" s="10">
        <f t="shared" si="62"/>
        <v>0</v>
      </c>
      <c r="AI67" s="10">
        <f t="shared" si="63"/>
        <v>0</v>
      </c>
      <c r="AJ67" s="10">
        <f t="shared" si="64"/>
        <v>0</v>
      </c>
      <c r="AK67" s="10">
        <f t="shared" si="65"/>
        <v>0</v>
      </c>
      <c r="AL67" s="10">
        <f>Podsumowanie!E$2-SUM(AN$5:AN66)+SUM(R$42:R67)-SUM(S$42:S67)</f>
        <v>400000</v>
      </c>
      <c r="AM67" s="10">
        <f t="shared" si="66"/>
        <v>0</v>
      </c>
      <c r="AN67" s="10">
        <f t="shared" si="67"/>
        <v>0</v>
      </c>
      <c r="AO67" s="10">
        <f t="shared" si="68"/>
        <v>0</v>
      </c>
      <c r="AP67" s="10">
        <f t="shared" si="69"/>
        <v>0</v>
      </c>
      <c r="AR67" s="43">
        <f t="shared" si="70"/>
        <v>39142</v>
      </c>
      <c r="AS67" s="11">
        <f>AS$5+SUM(AV$5:AV66)-SUM(X$5:X67)+SUM(W$5:W67)</f>
        <v>175916.96719148563</v>
      </c>
      <c r="AT67" s="10">
        <f t="shared" si="71"/>
        <v>0</v>
      </c>
      <c r="AU67" s="10">
        <f>IF(AB67=1,IF(Q67="tak",AT67,PMT(M67/12,P67+1-SUM(AB$5:AB67),AS67)),0)</f>
        <v>0</v>
      </c>
      <c r="AV67" s="10">
        <f t="shared" si="72"/>
        <v>0</v>
      </c>
      <c r="AW67" s="10">
        <f t="shared" si="73"/>
        <v>0</v>
      </c>
      <c r="AY67" s="11">
        <f>AY$5+SUM(BA$5:BA66)+SUM(W$5:W66)-SUM(X$5:X66)</f>
        <v>175916.96719148563</v>
      </c>
      <c r="AZ67" s="11">
        <f t="shared" si="74"/>
        <v>0</v>
      </c>
      <c r="BA67" s="11">
        <f t="shared" si="75"/>
        <v>0</v>
      </c>
      <c r="BB67" s="11">
        <f t="shared" si="76"/>
        <v>0</v>
      </c>
      <c r="BC67" s="11">
        <f t="shared" si="77"/>
        <v>0</v>
      </c>
      <c r="BE67" s="172">
        <f t="shared" si="4"/>
        <v>0.0422</v>
      </c>
      <c r="BF67" s="44">
        <f>BE67+Podsumowanie!$E$6</f>
        <v>0.0542</v>
      </c>
      <c r="BG67" s="11">
        <f>BG$5+SUM(BH$5:BH66)+SUM(R$5:R66)-SUM(S$5:S66)</f>
        <v>400000</v>
      </c>
      <c r="BH67" s="10">
        <f t="shared" si="81"/>
        <v>0</v>
      </c>
      <c r="BI67" s="10">
        <f t="shared" si="79"/>
        <v>0</v>
      </c>
      <c r="BJ67" s="10">
        <f>IF(U67&lt;0,PMT(BF67/12,Podsumowanie!E$8-SUM(AB$5:AB67)+1,BG67),0)</f>
        <v>0</v>
      </c>
      <c r="BL67" s="11">
        <f>BL$5+SUM(BN$5:BN66)+SUM(R$5:R66)-SUM(S$5:S66)</f>
        <v>400000</v>
      </c>
      <c r="BM67" s="11">
        <f t="shared" si="5"/>
        <v>0</v>
      </c>
      <c r="BN67" s="11">
        <f t="shared" si="6"/>
        <v>0</v>
      </c>
      <c r="BO67" s="11">
        <f t="shared" si="7"/>
        <v>0</v>
      </c>
      <c r="BQ67" s="44">
        <f t="shared" si="8"/>
        <v>0.0543</v>
      </c>
      <c r="BR67" s="11">
        <f>BR$5+SUM(BS$5:BS66)+SUM(R$5:R66)-SUM(S$5:S66)+SUM(BV$5:BV66)</f>
        <v>400000</v>
      </c>
      <c r="BS67" s="10">
        <f t="shared" si="46"/>
        <v>0</v>
      </c>
      <c r="BT67" s="10">
        <f t="shared" si="47"/>
        <v>0</v>
      </c>
      <c r="BU67" s="10">
        <f>IF(U67&lt;0,PMT(BQ67/12,Podsumowanie!E$8-SUM(AB$5:AB67)+1,BR67),0)</f>
        <v>0</v>
      </c>
      <c r="BV67" s="10">
        <f t="shared" si="41"/>
        <v>0</v>
      </c>
      <c r="BX67" s="11">
        <f>BX$5+SUM(BZ$5:BZ66)+SUM(R$5:R66)-SUM(S$5:S66)+SUM(CB$5,CB66)</f>
        <v>400000</v>
      </c>
      <c r="BY67" s="10">
        <f t="shared" si="9"/>
        <v>0</v>
      </c>
      <c r="BZ67" s="10">
        <f t="shared" si="10"/>
        <v>0</v>
      </c>
      <c r="CA67" s="10">
        <f t="shared" si="48"/>
        <v>0</v>
      </c>
      <c r="CB67" s="10">
        <f t="shared" si="49"/>
        <v>0</v>
      </c>
      <c r="CD67" s="10">
        <f>CD$5+SUM(CE$5:CE66)+SUM(R$5:R66)-SUM(S$5:S66)-SUM(CF$5:CF66)</f>
        <v>400000</v>
      </c>
      <c r="CE67" s="10">
        <f t="shared" si="42"/>
        <v>0</v>
      </c>
      <c r="CF67" s="10">
        <f t="shared" si="43"/>
        <v>0</v>
      </c>
      <c r="CG67" s="10">
        <f t="shared" si="44"/>
        <v>0</v>
      </c>
      <c r="CI67" s="44">
        <v>0.7993</v>
      </c>
      <c r="CJ67" s="10">
        <f t="shared" si="45"/>
        <v>0</v>
      </c>
      <c r="CK67" s="4">
        <f t="shared" si="50"/>
        <v>0</v>
      </c>
      <c r="CM67" s="10">
        <f t="shared" si="51"/>
        <v>0</v>
      </c>
      <c r="CN67" s="4">
        <f t="shared" si="52"/>
        <v>0</v>
      </c>
    </row>
    <row r="68" spans="1:92" ht="15.75">
      <c r="A68" s="36"/>
      <c r="B68" s="37">
        <v>39173</v>
      </c>
      <c r="C68" s="77">
        <f t="shared" si="1"/>
        <v>2.3331</v>
      </c>
      <c r="D68" s="78">
        <f>C68*(1+Podsumowanie!E$11)</f>
        <v>2.403093</v>
      </c>
      <c r="E68" s="34">
        <f t="shared" si="53"/>
        <v>0</v>
      </c>
      <c r="F68" s="7">
        <f t="shared" si="82"/>
        <v>0</v>
      </c>
      <c r="G68" s="7">
        <f t="shared" si="55"/>
        <v>0</v>
      </c>
      <c r="H68" s="7">
        <f t="shared" si="83"/>
        <v>0</v>
      </c>
      <c r="I68" s="32"/>
      <c r="J68" s="4" t="str">
        <f t="shared" si="57"/>
        <v xml:space="preserve"> </v>
      </c>
      <c r="K68" s="4">
        <f>IF(B68&lt;Podsumowanie!E$7,0,K67+1)</f>
        <v>0</v>
      </c>
      <c r="L68" s="100">
        <f t="shared" si="2"/>
        <v>0.0223</v>
      </c>
      <c r="M68" s="38">
        <f>L68+Podsumowanie!E$6</f>
        <v>0.0343</v>
      </c>
      <c r="N68" s="101">
        <f>MAX(Podsumowanie!E$4+SUM(AA$5:AA67)-SUM(X$5:X68)+SUM(W$5:W68),0)</f>
        <v>181357.6981355522</v>
      </c>
      <c r="O68" s="102">
        <f>MAX(Podsumowanie!E$2+SUM(V$5:V67)-SUM(S$5:S68)+SUM(R$5:R68),0)</f>
        <v>400000</v>
      </c>
      <c r="P68" s="39">
        <f t="shared" si="58"/>
        <v>360</v>
      </c>
      <c r="Q68" s="40" t="str">
        <f>IF(AND(K68&gt;0,K68&lt;=Podsumowanie!E$9),"tak","nie")</f>
        <v>nie</v>
      </c>
      <c r="R68" s="41"/>
      <c r="S68" s="42"/>
      <c r="T68" s="88">
        <f t="shared" si="59"/>
        <v>0</v>
      </c>
      <c r="U68" s="89">
        <f>IF(Q68="tak",T68,IF(P68-SUM(AB$5:AB68)+1&gt;0,IF(Podsumowanie!E$7&lt;B68,IF(SUM(AB$5:AB68)-Podsumowanie!E$9+1&gt;0,PMT(M68/12,P68+1-SUM(AB$5:AB68),O68),T68),0),0))</f>
        <v>0</v>
      </c>
      <c r="V68" s="89">
        <f t="shared" si="84"/>
        <v>0</v>
      </c>
      <c r="W68" s="90" t="str">
        <f>IF(R68&gt;0,R68/(C68*(1-Podsumowanie!E$11))," ")</f>
        <v xml:space="preserve"> </v>
      </c>
      <c r="X68" s="90">
        <f t="shared" si="19"/>
        <v>0</v>
      </c>
      <c r="Y68" s="91">
        <f t="shared" si="3"/>
        <v>0</v>
      </c>
      <c r="Z68" s="90">
        <f>IF(P68-SUM(AB$5:AB68)+1&gt;0,IF(Podsumowanie!E$7&lt;B68,IF(SUM(AB$5:AB68)-Podsumowanie!E$9+1&gt;0,PMT(M68/12,P68+1-SUM(AB$5:AB68),N68),Y68),0),0)</f>
        <v>0</v>
      </c>
      <c r="AA68" s="90">
        <f t="shared" si="80"/>
        <v>0</v>
      </c>
      <c r="AB68" s="8" t="str">
        <f>IF(AND(Podsumowanie!E$7&lt;B68,SUM(AB$5:AB67)&lt;P67),1," ")</f>
        <v xml:space="preserve"> </v>
      </c>
      <c r="AD68" s="51">
        <f>IF(OR(B68&lt;Podsumowanie!E$12,Podsumowanie!E$12=""),-F68+S68,0)</f>
        <v>0</v>
      </c>
      <c r="AE68" s="51">
        <f t="shared" si="22"/>
        <v>0</v>
      </c>
      <c r="AG68" s="10">
        <f>Podsumowanie!E$4-SUM(AI$5:AI67)+SUM(W$42:W68)-SUM(X$42:X68)</f>
        <v>181357.6981355522</v>
      </c>
      <c r="AH68" s="10">
        <f t="shared" si="62"/>
        <v>0</v>
      </c>
      <c r="AI68" s="10">
        <f t="shared" si="63"/>
        <v>0</v>
      </c>
      <c r="AJ68" s="10">
        <f t="shared" si="64"/>
        <v>0</v>
      </c>
      <c r="AK68" s="10">
        <f t="shared" si="65"/>
        <v>0</v>
      </c>
      <c r="AL68" s="10">
        <f>Podsumowanie!E$2-SUM(AN$5:AN67)+SUM(R$42:R68)-SUM(S$42:S68)</f>
        <v>400000</v>
      </c>
      <c r="AM68" s="10">
        <f t="shared" si="66"/>
        <v>0</v>
      </c>
      <c r="AN68" s="10">
        <f t="shared" si="67"/>
        <v>0</v>
      </c>
      <c r="AO68" s="10">
        <f t="shared" si="68"/>
        <v>0</v>
      </c>
      <c r="AP68" s="10">
        <f t="shared" si="69"/>
        <v>0</v>
      </c>
      <c r="AR68" s="43">
        <f t="shared" si="70"/>
        <v>39173</v>
      </c>
      <c r="AS68" s="11">
        <f>AS$5+SUM(AV$5:AV67)-SUM(X$5:X68)+SUM(W$5:W68)</f>
        <v>175916.96719148563</v>
      </c>
      <c r="AT68" s="10">
        <f t="shared" si="71"/>
        <v>0</v>
      </c>
      <c r="AU68" s="10">
        <f>IF(AB68=1,IF(Q68="tak",AT68,PMT(M68/12,P68+1-SUM(AB$5:AB68),AS68)),0)</f>
        <v>0</v>
      </c>
      <c r="AV68" s="10">
        <f t="shared" si="72"/>
        <v>0</v>
      </c>
      <c r="AW68" s="10">
        <f t="shared" si="73"/>
        <v>0</v>
      </c>
      <c r="AY68" s="11">
        <f>AY$5+SUM(BA$5:BA67)+SUM(W$5:W67)-SUM(X$5:X67)</f>
        <v>175916.96719148563</v>
      </c>
      <c r="AZ68" s="11">
        <f t="shared" si="74"/>
        <v>0</v>
      </c>
      <c r="BA68" s="11">
        <f t="shared" si="75"/>
        <v>0</v>
      </c>
      <c r="BB68" s="11">
        <f t="shared" si="76"/>
        <v>0</v>
      </c>
      <c r="BC68" s="11">
        <f t="shared" si="77"/>
        <v>0</v>
      </c>
      <c r="BE68" s="172">
        <f t="shared" si="4"/>
        <v>0.0432</v>
      </c>
      <c r="BF68" s="44">
        <f>BE68+Podsumowanie!$E$6</f>
        <v>0.0552</v>
      </c>
      <c r="BG68" s="11">
        <f>BG$5+SUM(BH$5:BH67)+SUM(R$5:R67)-SUM(S$5:S67)</f>
        <v>400000</v>
      </c>
      <c r="BH68" s="10">
        <f t="shared" si="81"/>
        <v>0</v>
      </c>
      <c r="BI68" s="10">
        <f t="shared" si="79"/>
        <v>0</v>
      </c>
      <c r="BJ68" s="10">
        <f>IF(U68&lt;0,PMT(BF68/12,Podsumowanie!E$8-SUM(AB$5:AB68)+1,BG68),0)</f>
        <v>0</v>
      </c>
      <c r="BL68" s="11">
        <f>BL$5+SUM(BN$5:BN67)+SUM(R$5:R67)-SUM(S$5:S67)</f>
        <v>400000</v>
      </c>
      <c r="BM68" s="11">
        <f t="shared" si="5"/>
        <v>0</v>
      </c>
      <c r="BN68" s="11">
        <f t="shared" si="6"/>
        <v>0</v>
      </c>
      <c r="BO68" s="11">
        <f t="shared" si="7"/>
        <v>0</v>
      </c>
      <c r="BQ68" s="44">
        <f t="shared" si="8"/>
        <v>0.0553</v>
      </c>
      <c r="BR68" s="11">
        <f>BR$5+SUM(BS$5:BS67)+SUM(R$5:R67)-SUM(S$5:S67)+SUM(BV$5:BV67)</f>
        <v>400000</v>
      </c>
      <c r="BS68" s="10">
        <f t="shared" si="46"/>
        <v>0</v>
      </c>
      <c r="BT68" s="10">
        <f t="shared" si="47"/>
        <v>0</v>
      </c>
      <c r="BU68" s="10">
        <f>IF(U68&lt;0,PMT(BQ68/12,Podsumowanie!E$8-SUM(AB$5:AB68)+1,BR68),0)</f>
        <v>0</v>
      </c>
      <c r="BV68" s="10">
        <f t="shared" si="41"/>
        <v>0</v>
      </c>
      <c r="BX68" s="11">
        <f>BX$5+SUM(BZ$5:BZ67)+SUM(R$5:R67)-SUM(S$5:S67)+SUM(CB$5,CB67)</f>
        <v>400000</v>
      </c>
      <c r="BY68" s="10">
        <f t="shared" si="9"/>
        <v>0</v>
      </c>
      <c r="BZ68" s="10">
        <f t="shared" si="10"/>
        <v>0</v>
      </c>
      <c r="CA68" s="10">
        <f t="shared" si="48"/>
        <v>0</v>
      </c>
      <c r="CB68" s="10">
        <f t="shared" si="49"/>
        <v>0</v>
      </c>
      <c r="CD68" s="10">
        <f>CD$5+SUM(CE$5:CE67)+SUM(R$5:R67)-SUM(S$5:S67)-SUM(CF$5:CF67)</f>
        <v>400000</v>
      </c>
      <c r="CE68" s="10">
        <f t="shared" si="42"/>
        <v>0</v>
      </c>
      <c r="CF68" s="10">
        <f t="shared" si="43"/>
        <v>0</v>
      </c>
      <c r="CG68" s="10">
        <f t="shared" si="44"/>
        <v>0</v>
      </c>
      <c r="CI68" s="44">
        <v>0.7904</v>
      </c>
      <c r="CJ68" s="10">
        <f t="shared" si="45"/>
        <v>0</v>
      </c>
      <c r="CK68" s="4">
        <f t="shared" si="50"/>
        <v>0</v>
      </c>
      <c r="CM68" s="10">
        <f t="shared" si="51"/>
        <v>0</v>
      </c>
      <c r="CN68" s="4">
        <f t="shared" si="52"/>
        <v>0</v>
      </c>
    </row>
    <row r="69" spans="1:92" ht="15.75">
      <c r="A69" s="36"/>
      <c r="B69" s="37">
        <v>39203</v>
      </c>
      <c r="C69" s="77">
        <f aca="true" t="shared" si="85" ref="C69:C132">VLOOKUP(B69,Kursy,C$2)</f>
        <v>2.2928</v>
      </c>
      <c r="D69" s="78">
        <f>C69*(1+Podsumowanie!E$11)</f>
        <v>2.361584</v>
      </c>
      <c r="E69" s="34">
        <f t="shared" si="53"/>
        <v>0</v>
      </c>
      <c r="F69" s="7">
        <f t="shared" si="82"/>
        <v>0</v>
      </c>
      <c r="G69" s="7">
        <f t="shared" si="55"/>
        <v>0</v>
      </c>
      <c r="H69" s="7">
        <f t="shared" si="83"/>
        <v>0</v>
      </c>
      <c r="I69" s="32"/>
      <c r="J69" s="4" t="str">
        <f t="shared" si="57"/>
        <v xml:space="preserve"> </v>
      </c>
      <c r="K69" s="4">
        <f>IF(B69&lt;Podsumowanie!E$7,0,K68+1)</f>
        <v>0</v>
      </c>
      <c r="L69" s="100">
        <f aca="true" t="shared" si="86" ref="L69:L132">VLOOKUP(B69,Oproc,C$2)</f>
        <v>0.0235</v>
      </c>
      <c r="M69" s="38">
        <f>L69+Podsumowanie!E$6</f>
        <v>0.035500000000000004</v>
      </c>
      <c r="N69" s="101">
        <f>MAX(Podsumowanie!E$4+SUM(AA$5:AA68)-SUM(X$5:X69)+SUM(W$5:W69),0)</f>
        <v>181357.6981355522</v>
      </c>
      <c r="O69" s="102">
        <f>MAX(Podsumowanie!E$2+SUM(V$5:V68)-SUM(S$5:S69)+SUM(R$5:R69),0)</f>
        <v>400000</v>
      </c>
      <c r="P69" s="39">
        <f t="shared" si="58"/>
        <v>360</v>
      </c>
      <c r="Q69" s="40" t="str">
        <f>IF(AND(K69&gt;0,K69&lt;=Podsumowanie!E$9),"tak","nie")</f>
        <v>nie</v>
      </c>
      <c r="R69" s="41"/>
      <c r="S69" s="42"/>
      <c r="T69" s="88">
        <f t="shared" si="59"/>
        <v>0</v>
      </c>
      <c r="U69" s="89">
        <f>IF(Q69="tak",T69,IF(P69-SUM(AB$5:AB69)+1&gt;0,IF(Podsumowanie!E$7&lt;B69,IF(SUM(AB$5:AB69)-Podsumowanie!E$9+1&gt;0,PMT(M69/12,P69+1-SUM(AB$5:AB69),O69),T69),0),0))</f>
        <v>0</v>
      </c>
      <c r="V69" s="89">
        <f t="shared" si="84"/>
        <v>0</v>
      </c>
      <c r="W69" s="90" t="str">
        <f>IF(R69&gt;0,R69/(C69*(1-Podsumowanie!E$11))," ")</f>
        <v xml:space="preserve"> </v>
      </c>
      <c r="X69" s="90">
        <f t="shared" si="19"/>
        <v>0</v>
      </c>
      <c r="Y69" s="91">
        <f t="shared" si="3"/>
        <v>0</v>
      </c>
      <c r="Z69" s="90">
        <f>IF(P69-SUM(AB$5:AB69)+1&gt;0,IF(Podsumowanie!E$7&lt;B69,IF(SUM(AB$5:AB69)-Podsumowanie!E$9+1&gt;0,PMT(M69/12,P69+1-SUM(AB$5:AB69),N69),Y69),0),0)</f>
        <v>0</v>
      </c>
      <c r="AA69" s="90">
        <f t="shared" si="80"/>
        <v>0</v>
      </c>
      <c r="AB69" s="8" t="str">
        <f>IF(AND(Podsumowanie!E$7&lt;B69,SUM(AB$5:AB68)&lt;P68),1," ")</f>
        <v xml:space="preserve"> </v>
      </c>
      <c r="AD69" s="51">
        <f>IF(OR(B69&lt;Podsumowanie!E$12,Podsumowanie!E$12=""),-F69+S69,0)</f>
        <v>0</v>
      </c>
      <c r="AE69" s="51">
        <f t="shared" si="22"/>
        <v>0</v>
      </c>
      <c r="AG69" s="10">
        <f>Podsumowanie!E$4-SUM(AI$5:AI68)+SUM(W$42:W69)-SUM(X$42:X69)</f>
        <v>181357.6981355522</v>
      </c>
      <c r="AH69" s="10">
        <f t="shared" si="62"/>
        <v>0</v>
      </c>
      <c r="AI69" s="10">
        <f t="shared" si="63"/>
        <v>0</v>
      </c>
      <c r="AJ69" s="10">
        <f t="shared" si="64"/>
        <v>0</v>
      </c>
      <c r="AK69" s="10">
        <f t="shared" si="65"/>
        <v>0</v>
      </c>
      <c r="AL69" s="10">
        <f>Podsumowanie!E$2-SUM(AN$5:AN68)+SUM(R$42:R69)-SUM(S$42:S69)</f>
        <v>400000</v>
      </c>
      <c r="AM69" s="10">
        <f t="shared" si="66"/>
        <v>0</v>
      </c>
      <c r="AN69" s="10">
        <f t="shared" si="67"/>
        <v>0</v>
      </c>
      <c r="AO69" s="10">
        <f t="shared" si="68"/>
        <v>0</v>
      </c>
      <c r="AP69" s="10">
        <f t="shared" si="69"/>
        <v>0</v>
      </c>
      <c r="AR69" s="43">
        <f t="shared" si="70"/>
        <v>39203</v>
      </c>
      <c r="AS69" s="11">
        <f>AS$5+SUM(AV$5:AV68)-SUM(X$5:X69)+SUM(W$5:W69)</f>
        <v>175916.96719148563</v>
      </c>
      <c r="AT69" s="10">
        <f t="shared" si="71"/>
        <v>0</v>
      </c>
      <c r="AU69" s="10">
        <f>IF(AB69=1,IF(Q69="tak",AT69,PMT(M69/12,P69+1-SUM(AB$5:AB69),AS69)),0)</f>
        <v>0</v>
      </c>
      <c r="AV69" s="10">
        <f t="shared" si="72"/>
        <v>0</v>
      </c>
      <c r="AW69" s="10">
        <f t="shared" si="73"/>
        <v>0</v>
      </c>
      <c r="AY69" s="11">
        <f>AY$5+SUM(BA$5:BA68)+SUM(W$5:W68)-SUM(X$5:X68)</f>
        <v>175916.96719148563</v>
      </c>
      <c r="AZ69" s="11">
        <f t="shared" si="74"/>
        <v>0</v>
      </c>
      <c r="BA69" s="11">
        <f t="shared" si="75"/>
        <v>0</v>
      </c>
      <c r="BB69" s="11">
        <f t="shared" si="76"/>
        <v>0</v>
      </c>
      <c r="BC69" s="11">
        <f t="shared" si="77"/>
        <v>0</v>
      </c>
      <c r="BE69" s="172">
        <f aca="true" t="shared" si="87" ref="BE69:BE132">VLOOKUP(B69,Oproc,5)</f>
        <v>0.0444</v>
      </c>
      <c r="BF69" s="44">
        <f>BE69+Podsumowanie!$E$6</f>
        <v>0.056400000000000006</v>
      </c>
      <c r="BG69" s="11">
        <f>BG$5+SUM(BH$5:BH68)+SUM(R$5:R68)-SUM(S$5:S68)</f>
        <v>400000</v>
      </c>
      <c r="BH69" s="10">
        <f t="shared" si="81"/>
        <v>0</v>
      </c>
      <c r="BI69" s="10">
        <f t="shared" si="79"/>
        <v>0</v>
      </c>
      <c r="BJ69" s="10">
        <f>IF(U69&lt;0,PMT(BF69/12,Podsumowanie!E$8-SUM(AB$5:AB69)+1,BG69),0)</f>
        <v>0</v>
      </c>
      <c r="BL69" s="11">
        <f>BL$5+SUM(BN$5:BN68)+SUM(R$5:R68)-SUM(S$5:S68)</f>
        <v>400000</v>
      </c>
      <c r="BM69" s="11">
        <f aca="true" t="shared" si="88" ref="BM69:BM119">IF(AB69=1,-BF69*BL69/12,0)</f>
        <v>0</v>
      </c>
      <c r="BN69" s="11">
        <f aca="true" t="shared" si="89" ref="BN69:BN119">IF(AB69=1,-BL69/(P69-K69+1),0)</f>
        <v>0</v>
      </c>
      <c r="BO69" s="11">
        <f aca="true" t="shared" si="90" ref="BO69:BO119">BN69+BM69</f>
        <v>0</v>
      </c>
      <c r="BQ69" s="44">
        <f aca="true" t="shared" si="91" ref="BQ69:BQ132">BE69+$BQ$4</f>
        <v>0.0565</v>
      </c>
      <c r="BR69" s="11">
        <f>BR$5+SUM(BS$5:BS68)+SUM(R$5:R68)-SUM(S$5:S68)+SUM(BV$5:BV68)</f>
        <v>400000</v>
      </c>
      <c r="BS69" s="10">
        <f t="shared" si="46"/>
        <v>0</v>
      </c>
      <c r="BT69" s="10">
        <f t="shared" si="47"/>
        <v>0</v>
      </c>
      <c r="BU69" s="10">
        <f>IF(U69&lt;0,PMT(BQ69/12,Podsumowanie!E$8-SUM(AB$5:AB69)+1,BR69),0)</f>
        <v>0</v>
      </c>
      <c r="BV69" s="10">
        <f t="shared" si="41"/>
        <v>0</v>
      </c>
      <c r="BX69" s="11">
        <f>BX$5+SUM(BZ$5:BZ68)+SUM(R$5:R68)-SUM(S$5:S68)+SUM(CB$5,CB68)</f>
        <v>400000</v>
      </c>
      <c r="BY69" s="10">
        <f aca="true" t="shared" si="92" ref="BY69:BY132">IF(AB69=1,-BQ69*BX69/12,0)</f>
        <v>0</v>
      </c>
      <c r="BZ69" s="10">
        <f aca="true" t="shared" si="93" ref="BZ69:BZ132">IF(AB69=1,-BX69/(P69-K69+1),0)</f>
        <v>0</v>
      </c>
      <c r="CA69" s="10">
        <f t="shared" si="48"/>
        <v>0</v>
      </c>
      <c r="CB69" s="10">
        <f t="shared" si="49"/>
        <v>0</v>
      </c>
      <c r="CD69" s="10">
        <f>CD$5+SUM(CE$5:CE68)+SUM(R$5:R68)-SUM(S$5:S68)-SUM(CF$5:CF68)</f>
        <v>400000</v>
      </c>
      <c r="CE69" s="10">
        <f t="shared" si="42"/>
        <v>0</v>
      </c>
      <c r="CF69" s="10">
        <f t="shared" si="43"/>
        <v>0</v>
      </c>
      <c r="CG69" s="10">
        <f t="shared" si="44"/>
        <v>0</v>
      </c>
      <c r="CI69" s="44">
        <v>0.7815</v>
      </c>
      <c r="CJ69" s="10">
        <f t="shared" si="45"/>
        <v>0</v>
      </c>
      <c r="CK69" s="4">
        <f t="shared" si="50"/>
        <v>0</v>
      </c>
      <c r="CM69" s="10">
        <f t="shared" si="51"/>
        <v>0</v>
      </c>
      <c r="CN69" s="4">
        <f t="shared" si="52"/>
        <v>0</v>
      </c>
    </row>
    <row r="70" spans="1:92" ht="15.75">
      <c r="A70" s="36"/>
      <c r="B70" s="37">
        <v>39234</v>
      </c>
      <c r="C70" s="77">
        <f t="shared" si="85"/>
        <v>2.3022</v>
      </c>
      <c r="D70" s="78">
        <f>C70*(1+Podsumowanie!E$11)</f>
        <v>2.371266</v>
      </c>
      <c r="E70" s="34">
        <f t="shared" si="53"/>
        <v>0</v>
      </c>
      <c r="F70" s="7">
        <f t="shared" si="82"/>
        <v>0</v>
      </c>
      <c r="G70" s="7">
        <f t="shared" si="55"/>
        <v>0</v>
      </c>
      <c r="H70" s="7">
        <f t="shared" si="83"/>
        <v>0</v>
      </c>
      <c r="I70" s="32"/>
      <c r="J70" s="4" t="str">
        <f t="shared" si="57"/>
        <v xml:space="preserve"> </v>
      </c>
      <c r="K70" s="4">
        <f>IF(B70&lt;Podsumowanie!E$7,0,K69+1)</f>
        <v>0</v>
      </c>
      <c r="L70" s="100">
        <f t="shared" si="86"/>
        <v>0.0247</v>
      </c>
      <c r="M70" s="38">
        <f>L70+Podsumowanie!E$6</f>
        <v>0.036699999999999997</v>
      </c>
      <c r="N70" s="101">
        <f>MAX(Podsumowanie!E$4+SUM(AA$5:AA69)-SUM(X$5:X70)+SUM(W$5:W70),0)</f>
        <v>181357.6981355522</v>
      </c>
      <c r="O70" s="102">
        <f>MAX(Podsumowanie!E$2+SUM(V$5:V69)-SUM(S$5:S70)+SUM(R$5:R70),0)</f>
        <v>400000</v>
      </c>
      <c r="P70" s="39">
        <f t="shared" si="58"/>
        <v>360</v>
      </c>
      <c r="Q70" s="40" t="str">
        <f>IF(AND(K70&gt;0,K70&lt;=Podsumowanie!E$9),"tak","nie")</f>
        <v>nie</v>
      </c>
      <c r="R70" s="41"/>
      <c r="S70" s="42"/>
      <c r="T70" s="88">
        <f t="shared" si="59"/>
        <v>0</v>
      </c>
      <c r="U70" s="89">
        <f>IF(Q70="tak",T70,IF(P70-SUM(AB$5:AB70)+1&gt;0,IF(Podsumowanie!E$7&lt;B70,IF(SUM(AB$5:AB70)-Podsumowanie!E$9+1&gt;0,PMT(M70/12,P70+1-SUM(AB$5:AB70),O70),T70),0),0))</f>
        <v>0</v>
      </c>
      <c r="V70" s="89">
        <f t="shared" si="84"/>
        <v>0</v>
      </c>
      <c r="W70" s="90" t="str">
        <f>IF(R70&gt;0,R70/(C70*(1-Podsumowanie!E$11))," ")</f>
        <v xml:space="preserve"> </v>
      </c>
      <c r="X70" s="90">
        <f aca="true" t="shared" si="94" ref="X70:X133">IF(S70&gt;0,S70/D70,0)</f>
        <v>0</v>
      </c>
      <c r="Y70" s="91">
        <f t="shared" si="3"/>
        <v>0</v>
      </c>
      <c r="Z70" s="90">
        <f>IF(P70-SUM(AB$5:AB70)+1&gt;0,IF(Podsumowanie!E$7&lt;B70,IF(SUM(AB$5:AB70)-Podsumowanie!E$9+1&gt;0,PMT(M70/12,P70+1-SUM(AB$5:AB70),N70),Y70),0),0)</f>
        <v>0</v>
      </c>
      <c r="AA70" s="90">
        <f t="shared" si="80"/>
        <v>0</v>
      </c>
      <c r="AB70" s="8" t="str">
        <f>IF(AND(Podsumowanie!E$7&lt;B70,SUM(AB$5:AB69)&lt;P69),1," ")</f>
        <v xml:space="preserve"> </v>
      </c>
      <c r="AD70" s="51">
        <f>IF(OR(B70&lt;Podsumowanie!E$12,Podsumowanie!E$12=""),-F70+S70,0)</f>
        <v>0</v>
      </c>
      <c r="AE70" s="51">
        <f aca="true" t="shared" si="95" ref="AE70:AE133">IF(AD70=0,-E70+X70,0)</f>
        <v>0</v>
      </c>
      <c r="AG70" s="10">
        <f>Podsumowanie!E$4-SUM(AI$5:AI69)+SUM(W$42:W70)-SUM(X$42:X70)</f>
        <v>181357.6981355522</v>
      </c>
      <c r="AH70" s="10">
        <f t="shared" si="62"/>
        <v>0</v>
      </c>
      <c r="AI70" s="10">
        <f t="shared" si="63"/>
        <v>0</v>
      </c>
      <c r="AJ70" s="10">
        <f t="shared" si="64"/>
        <v>0</v>
      </c>
      <c r="AK70" s="10">
        <f t="shared" si="65"/>
        <v>0</v>
      </c>
      <c r="AL70" s="10">
        <f>Podsumowanie!E$2-SUM(AN$5:AN69)+SUM(R$42:R70)-SUM(S$42:S70)</f>
        <v>400000</v>
      </c>
      <c r="AM70" s="10">
        <f t="shared" si="66"/>
        <v>0</v>
      </c>
      <c r="AN70" s="10">
        <f t="shared" si="67"/>
        <v>0</v>
      </c>
      <c r="AO70" s="10">
        <f t="shared" si="68"/>
        <v>0</v>
      </c>
      <c r="AP70" s="10">
        <f t="shared" si="69"/>
        <v>0</v>
      </c>
      <c r="AR70" s="43">
        <f t="shared" si="70"/>
        <v>39234</v>
      </c>
      <c r="AS70" s="11">
        <f>AS$5+SUM(AV$5:AV69)-SUM(X$5:X70)+SUM(W$5:W70)</f>
        <v>175916.96719148563</v>
      </c>
      <c r="AT70" s="10">
        <f t="shared" si="71"/>
        <v>0</v>
      </c>
      <c r="AU70" s="10">
        <f>IF(AB70=1,IF(Q70="tak",AT70,PMT(M70/12,P70+1-SUM(AB$5:AB70),AS70)),0)</f>
        <v>0</v>
      </c>
      <c r="AV70" s="10">
        <f t="shared" si="72"/>
        <v>0</v>
      </c>
      <c r="AW70" s="10">
        <f t="shared" si="73"/>
        <v>0</v>
      </c>
      <c r="AY70" s="11">
        <f>AY$5+SUM(BA$5:BA69)+SUM(W$5:W69)-SUM(X$5:X69)</f>
        <v>175916.96719148563</v>
      </c>
      <c r="AZ70" s="11">
        <f t="shared" si="74"/>
        <v>0</v>
      </c>
      <c r="BA70" s="11">
        <f t="shared" si="75"/>
        <v>0</v>
      </c>
      <c r="BB70" s="11">
        <f t="shared" si="76"/>
        <v>0</v>
      </c>
      <c r="BC70" s="11">
        <f t="shared" si="77"/>
        <v>0</v>
      </c>
      <c r="BE70" s="172">
        <f t="shared" si="87"/>
        <v>0.0452</v>
      </c>
      <c r="BF70" s="44">
        <f>BE70+Podsumowanie!$E$6</f>
        <v>0.0572</v>
      </c>
      <c r="BG70" s="11">
        <f>BG$5+SUM(BH$5:BH69)+SUM(R$5:R69)-SUM(S$5:S69)</f>
        <v>400000</v>
      </c>
      <c r="BH70" s="10">
        <f t="shared" si="81"/>
        <v>0</v>
      </c>
      <c r="BI70" s="10">
        <f t="shared" si="79"/>
        <v>0</v>
      </c>
      <c r="BJ70" s="10">
        <f>IF(U70&lt;0,PMT(BF70/12,Podsumowanie!E$8-SUM(AB$5:AB70)+1,BG70),0)</f>
        <v>0</v>
      </c>
      <c r="BL70" s="11">
        <f>BL$5+SUM(BN$5:BN69)+SUM(R$5:R69)-SUM(S$5:S69)</f>
        <v>400000</v>
      </c>
      <c r="BM70" s="11">
        <f t="shared" si="88"/>
        <v>0</v>
      </c>
      <c r="BN70" s="11">
        <f t="shared" si="89"/>
        <v>0</v>
      </c>
      <c r="BO70" s="11">
        <f t="shared" si="90"/>
        <v>0</v>
      </c>
      <c r="BQ70" s="44">
        <f t="shared" si="91"/>
        <v>0.0573</v>
      </c>
      <c r="BR70" s="11">
        <f>BR$5+SUM(BS$5:BS69)+SUM(R$5:R69)-SUM(S$5:S69)+SUM(BV$5:BV69)</f>
        <v>400000</v>
      </c>
      <c r="BS70" s="10">
        <f t="shared" si="46"/>
        <v>0</v>
      </c>
      <c r="BT70" s="10">
        <f t="shared" si="47"/>
        <v>0</v>
      </c>
      <c r="BU70" s="10">
        <f>IF(U70&lt;0,PMT(BQ70/12,Podsumowanie!E$8-SUM(AB$5:AB70)+1,BR70),0)</f>
        <v>0</v>
      </c>
      <c r="BV70" s="10">
        <f aca="true" t="shared" si="96" ref="BV70:BV133">F70-BU70</f>
        <v>0</v>
      </c>
      <c r="BX70" s="11">
        <f>BX$5+SUM(BZ$5:BZ69)+SUM(R$5:R69)-SUM(S$5:S69)+SUM(CB$5,CB69)</f>
        <v>400000</v>
      </c>
      <c r="BY70" s="10">
        <f t="shared" si="92"/>
        <v>0</v>
      </c>
      <c r="BZ70" s="10">
        <f t="shared" si="93"/>
        <v>0</v>
      </c>
      <c r="CA70" s="10">
        <f t="shared" si="48"/>
        <v>0</v>
      </c>
      <c r="CB70" s="10">
        <f t="shared" si="49"/>
        <v>0</v>
      </c>
      <c r="CD70" s="10">
        <f>CD$5+SUM(CE$5:CE69)+SUM(R$5:R69)-SUM(S$5:S69)-SUM(CF$5:CF69)</f>
        <v>400000</v>
      </c>
      <c r="CE70" s="10">
        <f aca="true" t="shared" si="97" ref="CE70:CE133">IF(AB70=1,BQ70*BX70/12,0)</f>
        <v>0</v>
      </c>
      <c r="CF70" s="10">
        <f aca="true" t="shared" si="98" ref="CF70:CF133">-F70</f>
        <v>0</v>
      </c>
      <c r="CG70" s="10">
        <f aca="true" t="shared" si="99" ref="CG70:CG133">CF70-CE70</f>
        <v>0</v>
      </c>
      <c r="CI70" s="44">
        <v>0.7726</v>
      </c>
      <c r="CJ70" s="10">
        <f aca="true" t="shared" si="100" ref="CJ70:CJ133">ROUND(CI70*(F70-S70),2)</f>
        <v>0</v>
      </c>
      <c r="CK70" s="4">
        <f t="shared" si="50"/>
        <v>0</v>
      </c>
      <c r="CM70" s="10">
        <f t="shared" si="51"/>
        <v>0</v>
      </c>
      <c r="CN70" s="4">
        <f t="shared" si="52"/>
        <v>0</v>
      </c>
    </row>
    <row r="71" spans="1:92" ht="15.75">
      <c r="A71" s="36"/>
      <c r="B71" s="37">
        <v>39264</v>
      </c>
      <c r="C71" s="77">
        <f t="shared" si="85"/>
        <v>2.2738</v>
      </c>
      <c r="D71" s="78">
        <f>C71*(1+Podsumowanie!E$11)</f>
        <v>2.3420140000000003</v>
      </c>
      <c r="E71" s="34">
        <f t="shared" si="53"/>
        <v>0</v>
      </c>
      <c r="F71" s="7">
        <f t="shared" si="82"/>
        <v>0</v>
      </c>
      <c r="G71" s="7">
        <f t="shared" si="55"/>
        <v>0</v>
      </c>
      <c r="H71" s="7">
        <f t="shared" si="83"/>
        <v>0</v>
      </c>
      <c r="I71" s="32"/>
      <c r="J71" s="4" t="str">
        <f t="shared" si="57"/>
        <v xml:space="preserve"> </v>
      </c>
      <c r="K71" s="4">
        <f>IF(B71&lt;Podsumowanie!E$7,0,K70+1)</f>
        <v>1</v>
      </c>
      <c r="L71" s="100">
        <f t="shared" si="86"/>
        <v>0.027</v>
      </c>
      <c r="M71" s="38">
        <f>L71+Podsumowanie!E$6</f>
        <v>0.039</v>
      </c>
      <c r="N71" s="101">
        <f>MAX(Podsumowanie!E$4+SUM(AA$5:AA70)-SUM(X$5:X71)+SUM(W$5:W71),0)</f>
        <v>181357.6981355522</v>
      </c>
      <c r="O71" s="102">
        <f>MAX(Podsumowanie!E$2+SUM(V$5:V70)-SUM(S$5:S71)+SUM(R$5:R71),0)</f>
        <v>400000</v>
      </c>
      <c r="P71" s="39">
        <f t="shared" si="58"/>
        <v>360</v>
      </c>
      <c r="Q71" s="40" t="str">
        <f>IF(AND(K71&gt;0,K71&lt;=Podsumowanie!E$9),"tak","nie")</f>
        <v>nie</v>
      </c>
      <c r="R71" s="41"/>
      <c r="S71" s="42"/>
      <c r="T71" s="88">
        <f t="shared" si="59"/>
        <v>0</v>
      </c>
      <c r="U71" s="89">
        <f>IF(Q71="tak",T71,IF(P71-SUM(AB$5:AB71)+1&gt;0,IF(Podsumowanie!E$7&lt;B71,IF(SUM(AB$5:AB71)-Podsumowanie!E$9+1&gt;0,PMT(M71/12,P71+1-SUM(AB$5:AB71),O71),T71),0),0))</f>
        <v>0</v>
      </c>
      <c r="V71" s="89">
        <f t="shared" si="84"/>
        <v>0</v>
      </c>
      <c r="W71" s="90" t="str">
        <f>IF(R71&gt;0,R71/(C71*(1-Podsumowanie!E$11))," ")</f>
        <v xml:space="preserve"> </v>
      </c>
      <c r="X71" s="90">
        <f t="shared" si="94"/>
        <v>0</v>
      </c>
      <c r="Y71" s="91">
        <f t="shared" si="3"/>
        <v>0</v>
      </c>
      <c r="Z71" s="90">
        <f>IF(P71-SUM(AB$5:AB71)+1&gt;0,IF(Podsumowanie!E$7&lt;B71,IF(SUM(AB$5:AB71)-Podsumowanie!E$9+1&gt;0,PMT(M71/12,P71+1-SUM(AB$5:AB71),N71),Y71),0),0)</f>
        <v>0</v>
      </c>
      <c r="AA71" s="90">
        <f t="shared" si="80"/>
        <v>0</v>
      </c>
      <c r="AB71" s="8" t="str">
        <f>IF(AND(Podsumowanie!E$7&lt;B71,SUM(AB$5:AB70)&lt;P70),1," ")</f>
        <v xml:space="preserve"> </v>
      </c>
      <c r="AD71" s="51">
        <f>IF(OR(B71&lt;Podsumowanie!E$12,Podsumowanie!E$12=""),-F71+S71,0)</f>
        <v>0</v>
      </c>
      <c r="AE71" s="51">
        <f t="shared" si="95"/>
        <v>0</v>
      </c>
      <c r="AG71" s="10">
        <f>Podsumowanie!E$4-SUM(AI$5:AI70)+SUM(W$42:W71)-SUM(X$42:X71)</f>
        <v>181357.6981355522</v>
      </c>
      <c r="AH71" s="10">
        <f t="shared" si="62"/>
        <v>0</v>
      </c>
      <c r="AI71" s="10">
        <f t="shared" si="63"/>
        <v>0</v>
      </c>
      <c r="AJ71" s="10">
        <f t="shared" si="64"/>
        <v>0</v>
      </c>
      <c r="AK71" s="10">
        <f t="shared" si="65"/>
        <v>0</v>
      </c>
      <c r="AL71" s="10">
        <f>Podsumowanie!E$2-SUM(AN$5:AN70)+SUM(R$42:R71)-SUM(S$42:S71)</f>
        <v>400000</v>
      </c>
      <c r="AM71" s="10">
        <f t="shared" si="66"/>
        <v>0</v>
      </c>
      <c r="AN71" s="10">
        <f t="shared" si="67"/>
        <v>0</v>
      </c>
      <c r="AO71" s="10">
        <f t="shared" si="68"/>
        <v>0</v>
      </c>
      <c r="AP71" s="10">
        <f t="shared" si="69"/>
        <v>0</v>
      </c>
      <c r="AR71" s="43">
        <f t="shared" si="70"/>
        <v>39264</v>
      </c>
      <c r="AS71" s="11">
        <f>AS$5+SUM(AV$5:AV70)-SUM(X$5:X71)+SUM(W$5:W71)</f>
        <v>175916.96719148563</v>
      </c>
      <c r="AT71" s="10">
        <f t="shared" si="71"/>
        <v>0</v>
      </c>
      <c r="AU71" s="10">
        <f>IF(AB71=1,IF(Q71="tak",AT71,PMT(M71/12,P71+1-SUM(AB$5:AB71),AS71)),0)</f>
        <v>0</v>
      </c>
      <c r="AV71" s="10">
        <f t="shared" si="72"/>
        <v>0</v>
      </c>
      <c r="AW71" s="10">
        <f t="shared" si="73"/>
        <v>0</v>
      </c>
      <c r="AY71" s="11">
        <f>AY$5+SUM(BA$5:BA70)+SUM(W$5:W70)-SUM(X$5:X70)</f>
        <v>175916.96719148563</v>
      </c>
      <c r="AZ71" s="11">
        <f t="shared" si="74"/>
        <v>0</v>
      </c>
      <c r="BA71" s="11">
        <f t="shared" si="75"/>
        <v>0</v>
      </c>
      <c r="BB71" s="11">
        <f t="shared" si="76"/>
        <v>0</v>
      </c>
      <c r="BC71" s="11">
        <f t="shared" si="77"/>
        <v>0</v>
      </c>
      <c r="BE71" s="172">
        <f t="shared" si="87"/>
        <v>0.0478</v>
      </c>
      <c r="BF71" s="44">
        <f>BE71+Podsumowanie!$E$6</f>
        <v>0.059800000000000006</v>
      </c>
      <c r="BG71" s="11">
        <f>BG$5+SUM(BH$5:BH70)+SUM(R$5:R70)-SUM(S$5:S70)</f>
        <v>400000</v>
      </c>
      <c r="BH71" s="10">
        <f t="shared" si="81"/>
        <v>0</v>
      </c>
      <c r="BI71" s="10">
        <f t="shared" si="79"/>
        <v>0</v>
      </c>
      <c r="BJ71" s="10">
        <f>IF(U71&lt;0,PMT(BF71/12,Podsumowanie!E$8-SUM(AB$5:AB71)+1,BG71),0)</f>
        <v>0</v>
      </c>
      <c r="BL71" s="11">
        <f>BL$5+SUM(BN$5:BN70)+SUM(R$5:R70)-SUM(S$5:S70)</f>
        <v>400000</v>
      </c>
      <c r="BM71" s="11">
        <f t="shared" si="88"/>
        <v>0</v>
      </c>
      <c r="BN71" s="11">
        <f t="shared" si="89"/>
        <v>0</v>
      </c>
      <c r="BO71" s="11">
        <f t="shared" si="90"/>
        <v>0</v>
      </c>
      <c r="BQ71" s="44">
        <f t="shared" si="91"/>
        <v>0.0599</v>
      </c>
      <c r="BR71" s="11">
        <f>BR$5+SUM(BS$5:BS70)+SUM(R$5:R70)-SUM(S$5:S70)+SUM(BV$5:BV70)</f>
        <v>400000</v>
      </c>
      <c r="BS71" s="10">
        <f aca="true" t="shared" si="101" ref="BS71:BS134">IF(BU71&lt;0,BU71-BT71,0)</f>
        <v>0</v>
      </c>
      <c r="BT71" s="10">
        <f aca="true" t="shared" si="102" ref="BT71:BT134">IF(BU71&lt;0,-BR71*BQ71/12,0)</f>
        <v>0</v>
      </c>
      <c r="BU71" s="10">
        <f>IF(U71&lt;0,PMT(BQ71/12,Podsumowanie!E$8-SUM(AB$5:AB71)+1,BR71),0)</f>
        <v>0</v>
      </c>
      <c r="BV71" s="10">
        <f t="shared" si="96"/>
        <v>0</v>
      </c>
      <c r="BX71" s="11">
        <f>BX$5+SUM(BZ$5:BZ70)+SUM(R$5:R70)-SUM(S$5:S70)+SUM(CB$5,CB70)</f>
        <v>400000</v>
      </c>
      <c r="BY71" s="10">
        <f t="shared" si="92"/>
        <v>0</v>
      </c>
      <c r="BZ71" s="10">
        <f t="shared" si="93"/>
        <v>0</v>
      </c>
      <c r="CA71" s="10">
        <f aca="true" t="shared" si="103" ref="CA71:CA134">BZ71+BY71</f>
        <v>0</v>
      </c>
      <c r="CB71" s="10">
        <f aca="true" t="shared" si="104" ref="CB71:CB134">$F71-CA71</f>
        <v>0</v>
      </c>
      <c r="CD71" s="10">
        <f>CD$5+SUM(CE$5:CE70)+SUM(R$5:R70)-SUM(S$5:S70)-SUM(CF$5:CF70)</f>
        <v>400000</v>
      </c>
      <c r="CE71" s="10">
        <f t="shared" si="97"/>
        <v>0</v>
      </c>
      <c r="CF71" s="10">
        <f t="shared" si="98"/>
        <v>0</v>
      </c>
      <c r="CG71" s="10">
        <f t="shared" si="99"/>
        <v>0</v>
      </c>
      <c r="CI71" s="44">
        <v>0.7726</v>
      </c>
      <c r="CJ71" s="10">
        <f t="shared" si="100"/>
        <v>0</v>
      </c>
      <c r="CK71" s="4">
        <f aca="true" t="shared" si="105" ref="CK71:CK134">ROUND(R71*CI71,2)</f>
        <v>0</v>
      </c>
      <c r="CM71" s="10">
        <f aca="true" t="shared" si="106" ref="CM71:CM134">F71+S71+CM70</f>
        <v>0</v>
      </c>
      <c r="CN71" s="4">
        <f aca="true" t="shared" si="107" ref="CN71:CN134">CM71*BE71/12</f>
        <v>0</v>
      </c>
    </row>
    <row r="72" spans="1:92" ht="15.75">
      <c r="A72" s="36"/>
      <c r="B72" s="37">
        <v>39295</v>
      </c>
      <c r="C72" s="77">
        <f t="shared" si="85"/>
        <v>2.3268</v>
      </c>
      <c r="D72" s="78">
        <f>C72*(1+Podsumowanie!E$11)</f>
        <v>2.396604</v>
      </c>
      <c r="E72" s="34">
        <f t="shared" si="53"/>
        <v>-855.4065981522904</v>
      </c>
      <c r="F72" s="7">
        <f t="shared" si="82"/>
        <v>-2050.0708747581716</v>
      </c>
      <c r="G72" s="7">
        <f t="shared" si="55"/>
        <v>-1886.6728171923173</v>
      </c>
      <c r="H72" s="7">
        <f t="shared" si="83"/>
        <v>163.3980575658543</v>
      </c>
      <c r="I72" s="32"/>
      <c r="J72" s="4" t="str">
        <f t="shared" si="57"/>
        <v xml:space="preserve"> </v>
      </c>
      <c r="K72" s="4">
        <f>IF(B72&lt;Podsumowanie!E$7,0,K71+1)</f>
        <v>2</v>
      </c>
      <c r="L72" s="100">
        <f t="shared" si="86"/>
        <v>0.027</v>
      </c>
      <c r="M72" s="38">
        <f>L72+Podsumowanie!E$6</f>
        <v>0.039</v>
      </c>
      <c r="N72" s="101">
        <f>MAX(Podsumowanie!E$4+SUM(AA$5:AA71)-SUM(X$5:X72)+SUM(W$5:W72),0)</f>
        <v>181357.6981355522</v>
      </c>
      <c r="O72" s="102">
        <f>MAX(Podsumowanie!E$2+SUM(V$5:V71)-SUM(S$5:S72)+SUM(R$5:R72),0)</f>
        <v>400000</v>
      </c>
      <c r="P72" s="39">
        <f t="shared" si="58"/>
        <v>360</v>
      </c>
      <c r="Q72" s="40" t="str">
        <f>IF(AND(K72&gt;0,K72&lt;=Podsumowanie!E$9),"tak","nie")</f>
        <v>nie</v>
      </c>
      <c r="R72" s="41"/>
      <c r="S72" s="42"/>
      <c r="T72" s="88">
        <f t="shared" si="59"/>
        <v>-1300</v>
      </c>
      <c r="U72" s="89">
        <f>IF(Q72="tak",T72,IF(P72-SUM(AB$5:AB72)+1&gt;0,IF(Podsumowanie!E$7&lt;B72,IF(SUM(AB$5:AB72)-Podsumowanie!E$9+1&gt;0,PMT(M72/12,P72+1-SUM(AB$5:AB72),O72),T72),0),0))</f>
        <v>-1886.6728171923173</v>
      </c>
      <c r="V72" s="89">
        <f t="shared" si="84"/>
        <v>-586.6728171923173</v>
      </c>
      <c r="W72" s="90" t="str">
        <f>IF(R72&gt;0,R72/(C72*(1-Podsumowanie!E$11))," ")</f>
        <v xml:space="preserve"> </v>
      </c>
      <c r="X72" s="90">
        <f t="shared" si="94"/>
        <v>0</v>
      </c>
      <c r="Y72" s="91">
        <f t="shared" si="3"/>
        <v>-589.4125189405446</v>
      </c>
      <c r="Z72" s="90">
        <f>IF(P72-SUM(AB$5:AB72)+1&gt;0,IF(Podsumowanie!E$7&lt;B72,IF(SUM(AB$5:AB72)-Podsumowanie!E$9+1&gt;0,PMT(M72/12,P72+1-SUM(AB$5:AB72),N72),Y72),0),0)</f>
        <v>-855.4065981522904</v>
      </c>
      <c r="AA72" s="90">
        <f t="shared" si="80"/>
        <v>-265.99407921174577</v>
      </c>
      <c r="AB72" s="8">
        <f>IF(AND(Podsumowanie!E$7&lt;B72,SUM(AB$5:AB71)&lt;P71),1," ")</f>
        <v>1</v>
      </c>
      <c r="AD72" s="51">
        <f>IF(OR(B72&lt;Podsumowanie!E$12,Podsumowanie!E$12=""),-F72+S72,0)</f>
        <v>2050.0708747581716</v>
      </c>
      <c r="AE72" s="51">
        <f t="shared" si="95"/>
        <v>0</v>
      </c>
      <c r="AG72" s="10">
        <f>Podsumowanie!E$4-SUM(AI$5:AI71)+SUM(W$42:W72)-SUM(X$42:X72)</f>
        <v>181357.6981355522</v>
      </c>
      <c r="AH72" s="10">
        <f t="shared" si="62"/>
        <v>589.41</v>
      </c>
      <c r="AI72" s="10">
        <f t="shared" si="63"/>
        <v>505.17</v>
      </c>
      <c r="AJ72" s="10">
        <f t="shared" si="64"/>
        <v>1094.58</v>
      </c>
      <c r="AK72" s="10">
        <f t="shared" si="65"/>
        <v>2623.27</v>
      </c>
      <c r="AL72" s="10">
        <f>Podsumowanie!E$2-SUM(AN$5:AN71)+SUM(R$42:R72)-SUM(S$42:S72)</f>
        <v>400000</v>
      </c>
      <c r="AM72" s="10">
        <f t="shared" si="66"/>
        <v>1300</v>
      </c>
      <c r="AN72" s="10">
        <f t="shared" si="67"/>
        <v>1114.21</v>
      </c>
      <c r="AO72" s="10">
        <f t="shared" si="68"/>
        <v>2414.21</v>
      </c>
      <c r="AP72" s="10">
        <f t="shared" si="69"/>
        <v>209.05999999999995</v>
      </c>
      <c r="AR72" s="43">
        <f t="shared" si="70"/>
        <v>39295</v>
      </c>
      <c r="AS72" s="11">
        <f>AS$5+SUM(AV$5:AV71)-SUM(X$5:X72)+SUM(W$5:W72)</f>
        <v>175916.96719148563</v>
      </c>
      <c r="AT72" s="10">
        <f t="shared" si="71"/>
        <v>-571.7301433723284</v>
      </c>
      <c r="AU72" s="10">
        <f>IF(AB72=1,IF(Q72="tak",AT72,PMT(M72/12,P72+1-SUM(AB$5:AB72),AS72)),0)</f>
        <v>-829.7444002077217</v>
      </c>
      <c r="AV72" s="10">
        <f t="shared" si="72"/>
        <v>-258.0142568353933</v>
      </c>
      <c r="AW72" s="10">
        <f t="shared" si="73"/>
        <v>-1930.649270403327</v>
      </c>
      <c r="AY72" s="11">
        <f>AY$5+SUM(BA$5:BA71)+SUM(W$5:W71)-SUM(X$5:X71)</f>
        <v>175916.96719148563</v>
      </c>
      <c r="AZ72" s="11">
        <f t="shared" si="74"/>
        <v>-571.7301433723284</v>
      </c>
      <c r="BA72" s="11">
        <f t="shared" si="75"/>
        <v>-490.02</v>
      </c>
      <c r="BB72" s="11">
        <f t="shared" si="76"/>
        <v>-1061.7501433723282</v>
      </c>
      <c r="BC72" s="11">
        <f t="shared" si="77"/>
        <v>-2470.4802335987333</v>
      </c>
      <c r="BE72" s="172">
        <f t="shared" si="87"/>
        <v>0.0491</v>
      </c>
      <c r="BF72" s="44">
        <f>BE72+Podsumowanie!$E$6</f>
        <v>0.0611</v>
      </c>
      <c r="BG72" s="11">
        <f>BG$5+SUM(BH$5:BH71)+SUM(R$5:R71)-SUM(S$5:S71)</f>
        <v>400000</v>
      </c>
      <c r="BH72" s="10">
        <f t="shared" si="81"/>
        <v>-389.8967851118193</v>
      </c>
      <c r="BI72" s="10">
        <f t="shared" si="79"/>
        <v>-2036.6666666666667</v>
      </c>
      <c r="BJ72" s="10">
        <f>IF(U72&lt;0,PMT(BF72/12,Podsumowanie!E$8-SUM(AB$5:AB72)+1,BG72),0)</f>
        <v>-2426.563451778486</v>
      </c>
      <c r="BL72" s="11">
        <f>BL$5+SUM(BN$5:BN71)+SUM(R$5:R71)-SUM(S$5:S71)</f>
        <v>400000</v>
      </c>
      <c r="BM72" s="11">
        <f t="shared" si="88"/>
        <v>-2036.6666666666667</v>
      </c>
      <c r="BN72" s="11">
        <f t="shared" si="89"/>
        <v>-1114.2061281337046</v>
      </c>
      <c r="BO72" s="11">
        <f t="shared" si="90"/>
        <v>-3150.8727948003716</v>
      </c>
      <c r="BQ72" s="44">
        <f t="shared" si="91"/>
        <v>0.0612</v>
      </c>
      <c r="BR72" s="11">
        <f>BR$5+SUM(BS$5:BS71)+SUM(R$5:R71)-SUM(S$5:S71)+SUM(BV$5:BV71)</f>
        <v>400000</v>
      </c>
      <c r="BS72" s="10">
        <f t="shared" si="101"/>
        <v>-389.1489573954136</v>
      </c>
      <c r="BT72" s="10">
        <f t="shared" si="102"/>
        <v>-2040</v>
      </c>
      <c r="BU72" s="10">
        <f>IF(U72&lt;0,PMT(BQ72/12,Podsumowanie!E$8-SUM(AB$5:AB72)+1,BR72),0)</f>
        <v>-2429.1489573954136</v>
      </c>
      <c r="BV72" s="10">
        <f t="shared" si="96"/>
        <v>379.078082637242</v>
      </c>
      <c r="BX72" s="11">
        <f>BX$5+SUM(BZ$5:BZ71)+SUM(R$5:R71)-SUM(S$5:S71)+SUM(CB$5,CB71)</f>
        <v>400000</v>
      </c>
      <c r="BY72" s="10">
        <f t="shared" si="92"/>
        <v>-2040</v>
      </c>
      <c r="BZ72" s="10">
        <f t="shared" si="93"/>
        <v>-1114.2061281337046</v>
      </c>
      <c r="CA72" s="10">
        <f t="shared" si="103"/>
        <v>-3154.2061281337046</v>
      </c>
      <c r="CB72" s="10">
        <f t="shared" si="104"/>
        <v>1104.135253375533</v>
      </c>
      <c r="CD72" s="10">
        <f>CD$5+SUM(CE$5:CE71)+SUM(R$5:R71)-SUM(S$5:S71)-SUM(CF$5:CF71)</f>
        <v>400000</v>
      </c>
      <c r="CE72" s="10">
        <f t="shared" si="97"/>
        <v>2040</v>
      </c>
      <c r="CF72" s="10">
        <f t="shared" si="98"/>
        <v>2050.0708747581716</v>
      </c>
      <c r="CG72" s="10">
        <f t="shared" si="99"/>
        <v>10.070874758171612</v>
      </c>
      <c r="CI72" s="44">
        <v>0.7779</v>
      </c>
      <c r="CJ72" s="10">
        <f t="shared" si="100"/>
        <v>-1594.75</v>
      </c>
      <c r="CK72" s="4">
        <f t="shared" si="105"/>
        <v>0</v>
      </c>
      <c r="CM72" s="10">
        <f t="shared" si="106"/>
        <v>-2050.0708747581716</v>
      </c>
      <c r="CN72" s="4">
        <f t="shared" si="107"/>
        <v>-8.388206662552184</v>
      </c>
    </row>
    <row r="73" spans="1:92" ht="15.75">
      <c r="A73" s="36"/>
      <c r="B73" s="37">
        <v>39326</v>
      </c>
      <c r="C73" s="77">
        <f t="shared" si="85"/>
        <v>2.2995</v>
      </c>
      <c r="D73" s="78">
        <f>C73*(1+Podsumowanie!E$11)</f>
        <v>2.368485</v>
      </c>
      <c r="E73" s="34">
        <f t="shared" si="53"/>
        <v>-876.2723674190831</v>
      </c>
      <c r="F73" s="7">
        <f t="shared" si="82"/>
        <v>-2075.4379581465873</v>
      </c>
      <c r="G73" s="7">
        <f t="shared" si="55"/>
        <v>-1932.6940657663858</v>
      </c>
      <c r="H73" s="7">
        <f t="shared" si="83"/>
        <v>142.7438923802015</v>
      </c>
      <c r="I73" s="32"/>
      <c r="J73" s="4" t="str">
        <f aca="true" t="shared" si="108" ref="J73:J104">IF(H73&lt;0,"Ze względu na spadek kursu CHF, rata jest korzystniejsza niż bez klauzuli indeksacyjnej"," ")</f>
        <v xml:space="preserve"> </v>
      </c>
      <c r="K73" s="4">
        <f>IF(B73&lt;Podsumowanie!E$7,0,K72+1)</f>
        <v>3</v>
      </c>
      <c r="L73" s="100">
        <f t="shared" si="86"/>
        <v>0.029</v>
      </c>
      <c r="M73" s="38">
        <f>L73+Podsumowanie!E$6</f>
        <v>0.041</v>
      </c>
      <c r="N73" s="101">
        <f>MAX(Podsumowanie!E$4+SUM(AA$5:AA72)-SUM(X$5:X73)+SUM(W$5:W73),0)</f>
        <v>181091.70405634044</v>
      </c>
      <c r="O73" s="102">
        <f>MAX(Podsumowanie!E$2+SUM(V$5:V72)-SUM(S$5:S73)+SUM(R$5:R73),0)</f>
        <v>399413.32718280767</v>
      </c>
      <c r="P73" s="39">
        <f t="shared" si="58"/>
        <v>360</v>
      </c>
      <c r="Q73" s="40" t="str">
        <f>IF(AND(K73&gt;0,K73&lt;=Podsumowanie!E$9),"tak","nie")</f>
        <v>nie</v>
      </c>
      <c r="R73" s="41"/>
      <c r="S73" s="42"/>
      <c r="T73" s="88">
        <f t="shared" si="59"/>
        <v>-1364.6622012079263</v>
      </c>
      <c r="U73" s="89">
        <f>IF(Q73="tak",T73,IF(P73-SUM(AB$5:AB73)+1&gt;0,IF(Podsumowanie!E$7&lt;B73,IF(SUM(AB$5:AB73)-Podsumowanie!E$9+1&gt;0,PMT(M73/12,P73+1-SUM(AB$5:AB73),O73),T73),0),0))</f>
        <v>-1932.6940657663858</v>
      </c>
      <c r="V73" s="89">
        <f t="shared" si="84"/>
        <v>-568.0318645584596</v>
      </c>
      <c r="W73" s="90" t="str">
        <f>IF(R73&gt;0,R73/(C73*(1-Podsumowanie!E$11))," ")</f>
        <v xml:space="preserve"> </v>
      </c>
      <c r="X73" s="90">
        <f t="shared" si="94"/>
        <v>0</v>
      </c>
      <c r="Y73" s="91">
        <f t="shared" si="3"/>
        <v>-618.7299888591632</v>
      </c>
      <c r="Z73" s="90">
        <f>IF(P73-SUM(AB$5:AB73)+1&gt;0,IF(Podsumowanie!E$7&lt;B73,IF(SUM(AB$5:AB73)-Podsumowanie!E$9+1&gt;0,PMT(M73/12,P73+1-SUM(AB$5:AB73),N73),Y73),0),0)</f>
        <v>-876.2723674190831</v>
      </c>
      <c r="AA73" s="90">
        <f t="shared" si="80"/>
        <v>-257.54237855991994</v>
      </c>
      <c r="AB73" s="8">
        <f>IF(AND(Podsumowanie!E$7&lt;B73,SUM(AB$5:AB72)&lt;P72),1," ")</f>
        <v>1</v>
      </c>
      <c r="AD73" s="51">
        <f>IF(OR(B73&lt;Podsumowanie!E$12,Podsumowanie!E$12=""),-F73+S73,0)</f>
        <v>2075.4379581465873</v>
      </c>
      <c r="AE73" s="51">
        <f t="shared" si="95"/>
        <v>0</v>
      </c>
      <c r="AG73" s="10">
        <f>Podsumowanie!E$4-SUM(AI$5:AI72)+SUM(W$42:W73)-SUM(X$42:X73)</f>
        <v>180852.5281355522</v>
      </c>
      <c r="AH73" s="10">
        <f t="shared" si="62"/>
        <v>617.91</v>
      </c>
      <c r="AI73" s="10">
        <f t="shared" si="63"/>
        <v>505.17</v>
      </c>
      <c r="AJ73" s="10">
        <f t="shared" si="64"/>
        <v>1123.08</v>
      </c>
      <c r="AK73" s="10">
        <f aca="true" t="shared" si="109" ref="AK73:AK104">ROUND(AJ73*D73,2)</f>
        <v>2660</v>
      </c>
      <c r="AL73" s="10">
        <f>Podsumowanie!E$2-SUM(AN$5:AN72)+SUM(R$42:R73)-SUM(S$42:S73)</f>
        <v>398885.79</v>
      </c>
      <c r="AM73" s="10">
        <f t="shared" si="66"/>
        <v>1362.86</v>
      </c>
      <c r="AN73" s="10">
        <f t="shared" si="67"/>
        <v>1114.21</v>
      </c>
      <c r="AO73" s="10">
        <f t="shared" si="68"/>
        <v>2477.0699999999997</v>
      </c>
      <c r="AP73" s="10">
        <f t="shared" si="69"/>
        <v>182.9300000000003</v>
      </c>
      <c r="AR73" s="43">
        <f aca="true" t="shared" si="110" ref="AR73:AR104">B73</f>
        <v>39326</v>
      </c>
      <c r="AS73" s="11">
        <f>AS$5+SUM(AV$5:AV72)-SUM(X$5:X73)+SUM(W$5:W73)</f>
        <v>175658.95293465024</v>
      </c>
      <c r="AT73" s="10">
        <f t="shared" si="71"/>
        <v>-600.1680891933884</v>
      </c>
      <c r="AU73" s="10">
        <f>IF(AB73=1,IF(Q73="tak",AT73,PMT(M73/12,P73+1-SUM(AB$5:AB73),AS73)),0)</f>
        <v>-849.9841963965107</v>
      </c>
      <c r="AV73" s="10">
        <f t="shared" si="72"/>
        <v>-249.81610720312233</v>
      </c>
      <c r="AW73" s="10">
        <f t="shared" si="73"/>
        <v>-1954.5386596137764</v>
      </c>
      <c r="AY73" s="11">
        <f>AY$5+SUM(BA$5:BA72)+SUM(W$5:W72)-SUM(X$5:X72)</f>
        <v>175426.94719148564</v>
      </c>
      <c r="AZ73" s="11">
        <f t="shared" si="74"/>
        <v>-600.1680891933884</v>
      </c>
      <c r="BA73" s="11">
        <f t="shared" si="75"/>
        <v>-490.02</v>
      </c>
      <c r="BB73" s="11">
        <f t="shared" si="76"/>
        <v>-1090.1880891933884</v>
      </c>
      <c r="BC73" s="11">
        <f aca="true" t="shared" si="111" ref="BC73:BC104">BB73*C73</f>
        <v>-2506.8875111001967</v>
      </c>
      <c r="BE73" s="172">
        <f t="shared" si="87"/>
        <v>0.0509</v>
      </c>
      <c r="BF73" s="44">
        <f>BE73+Podsumowanie!$E$6</f>
        <v>0.0629</v>
      </c>
      <c r="BG73" s="11">
        <f>BG$5+SUM(BH$5:BH72)+SUM(R$5:R72)-SUM(S$5:S72)</f>
        <v>399610.1032148882</v>
      </c>
      <c r="BH73" s="10">
        <f t="shared" si="81"/>
        <v>-378.5791943588515</v>
      </c>
      <c r="BI73" s="10">
        <f t="shared" si="79"/>
        <v>-2094.6229576847054</v>
      </c>
      <c r="BJ73" s="10">
        <f>IF(U73&lt;0,PMT(BF73/12,Podsumowanie!E$8-SUM(AB$5:AB73)+1,BG73),0)</f>
        <v>-2473.202152043557</v>
      </c>
      <c r="BL73" s="11">
        <f>BL$5+SUM(BN$5:BN72)+SUM(R$5:R72)-SUM(S$5:S72)</f>
        <v>398885.7938718663</v>
      </c>
      <c r="BM73" s="11">
        <f t="shared" si="88"/>
        <v>-2090.826369545033</v>
      </c>
      <c r="BN73" s="11">
        <f t="shared" si="89"/>
        <v>-1114.2061281337049</v>
      </c>
      <c r="BO73" s="11">
        <f t="shared" si="90"/>
        <v>-3205.032497678738</v>
      </c>
      <c r="BQ73" s="44">
        <f t="shared" si="91"/>
        <v>0.063</v>
      </c>
      <c r="BR73" s="11">
        <f>BR$5+SUM(BS$5:BS72)+SUM(R$5:R72)-SUM(S$5:S72)+SUM(BV$5:BV72)</f>
        <v>399989.9291252418</v>
      </c>
      <c r="BS73" s="10">
        <f t="shared" si="101"/>
        <v>-378.21048780834917</v>
      </c>
      <c r="BT73" s="10">
        <f t="shared" si="102"/>
        <v>-2099.9471279075196</v>
      </c>
      <c r="BU73" s="10">
        <f>IF(U73&lt;0,PMT(BQ73/12,Podsumowanie!E$8-SUM(AB$5:AB73)+1,BR73),0)</f>
        <v>-2478.157615715869</v>
      </c>
      <c r="BV73" s="10">
        <f t="shared" si="96"/>
        <v>402.7196575692815</v>
      </c>
      <c r="BX73" s="11">
        <f>BX$5+SUM(BZ$5:BZ72)+SUM(R$5:R72)-SUM(S$5:S72)+SUM(CB$5,CB72)</f>
        <v>399989.9291252418</v>
      </c>
      <c r="BY73" s="10">
        <f t="shared" si="92"/>
        <v>-2099.9471279075196</v>
      </c>
      <c r="BZ73" s="10">
        <f t="shared" si="93"/>
        <v>-1117.2903048191113</v>
      </c>
      <c r="CA73" s="10">
        <f t="shared" si="103"/>
        <v>-3217.2374327266307</v>
      </c>
      <c r="CB73" s="10">
        <f t="shared" si="104"/>
        <v>1141.7994745800434</v>
      </c>
      <c r="CD73" s="10">
        <f>CD$5+SUM(CE$5:CE72)+SUM(R$5:R72)-SUM(S$5:S72)-SUM(CF$5:CF72)</f>
        <v>399989.9291252418</v>
      </c>
      <c r="CE73" s="10">
        <f t="shared" si="97"/>
        <v>2099.9471279075196</v>
      </c>
      <c r="CF73" s="10">
        <f t="shared" si="98"/>
        <v>2075.4379581465873</v>
      </c>
      <c r="CG73" s="10">
        <f t="shared" si="99"/>
        <v>-24.50916976093231</v>
      </c>
      <c r="CI73" s="44">
        <v>0.7851</v>
      </c>
      <c r="CJ73" s="10">
        <f t="shared" si="100"/>
        <v>-1629.43</v>
      </c>
      <c r="CK73" s="4">
        <f t="shared" si="105"/>
        <v>0</v>
      </c>
      <c r="CM73" s="10">
        <f t="shared" si="106"/>
        <v>-4125.508832904759</v>
      </c>
      <c r="CN73" s="4">
        <f t="shared" si="107"/>
        <v>-17.49903329957102</v>
      </c>
    </row>
    <row r="74" spans="1:92" ht="15.75">
      <c r="A74" s="36"/>
      <c r="B74" s="37">
        <v>39356</v>
      </c>
      <c r="C74" s="77">
        <f t="shared" si="85"/>
        <v>2.2177</v>
      </c>
      <c r="D74" s="78">
        <f>C74*(1+Podsumowanie!E$11)</f>
        <v>2.2842309999999997</v>
      </c>
      <c r="E74" s="34">
        <f t="shared" si="53"/>
        <v>-863.7482246024741</v>
      </c>
      <c r="F74" s="7">
        <f t="shared" si="82"/>
        <v>-1973.0004708319339</v>
      </c>
      <c r="G74" s="7">
        <f t="shared" si="55"/>
        <v>-1905.0709917080721</v>
      </c>
      <c r="H74" s="7">
        <f t="shared" si="83"/>
        <v>67.92947912386171</v>
      </c>
      <c r="I74" s="32"/>
      <c r="J74" s="4" t="str">
        <f t="shared" si="108"/>
        <v xml:space="preserve"> </v>
      </c>
      <c r="K74" s="4">
        <f>IF(B74&lt;Podsumowanie!E$7,0,K73+1)</f>
        <v>4</v>
      </c>
      <c r="L74" s="100">
        <f t="shared" si="86"/>
        <v>0.0278</v>
      </c>
      <c r="M74" s="38">
        <f>L74+Podsumowanie!E$6</f>
        <v>0.0398</v>
      </c>
      <c r="N74" s="101">
        <f>MAX(Podsumowanie!E$4+SUM(AA$5:AA73)-SUM(X$5:X74)+SUM(W$5:W74),0)</f>
        <v>180834.16167778053</v>
      </c>
      <c r="O74" s="102">
        <f>MAX(Podsumowanie!E$2+SUM(V$5:V73)-SUM(S$5:S74)+SUM(R$5:R74),0)</f>
        <v>398845.2953182492</v>
      </c>
      <c r="P74" s="39">
        <f t="shared" si="58"/>
        <v>360</v>
      </c>
      <c r="Q74" s="40" t="str">
        <f>IF(AND(K74&gt;0,K74&lt;=Podsumowanie!E$9),"tak","nie")</f>
        <v>nie</v>
      </c>
      <c r="R74" s="41"/>
      <c r="S74" s="42"/>
      <c r="T74" s="88">
        <f t="shared" si="59"/>
        <v>-1322.8368961388599</v>
      </c>
      <c r="U74" s="89">
        <f>IF(Q74="tak",T74,IF(P74-SUM(AB$5:AB74)+1&gt;0,IF(Podsumowanie!E$7&lt;B74,IF(SUM(AB$5:AB74)-Podsumowanie!E$9+1&gt;0,PMT(M74/12,P74+1-SUM(AB$5:AB74),O74),T74),0),0))</f>
        <v>-1905.0709917080721</v>
      </c>
      <c r="V74" s="89">
        <f t="shared" si="84"/>
        <v>-582.2340955692123</v>
      </c>
      <c r="W74" s="90" t="str">
        <f>IF(R74&gt;0,R74/(C74*(1-Podsumowanie!E$11))," ")</f>
        <v xml:space="preserve"> </v>
      </c>
      <c r="X74" s="90">
        <f t="shared" si="94"/>
        <v>0</v>
      </c>
      <c r="Y74" s="91">
        <f t="shared" si="3"/>
        <v>-599.7666362313055</v>
      </c>
      <c r="Z74" s="90">
        <f>IF(P74-SUM(AB$5:AB74)+1&gt;0,IF(Podsumowanie!E$7&lt;B74,IF(SUM(AB$5:AB74)-Podsumowanie!E$9+1&gt;0,PMT(M74/12,P74+1-SUM(AB$5:AB74),N74),Y74),0),0)</f>
        <v>-863.7482246024741</v>
      </c>
      <c r="AA74" s="90">
        <f t="shared" si="80"/>
        <v>-263.98158837116864</v>
      </c>
      <c r="AB74" s="8">
        <f>IF(AND(Podsumowanie!E$7&lt;B74,SUM(AB$5:AB73)&lt;P73),1," ")</f>
        <v>1</v>
      </c>
      <c r="AD74" s="51">
        <f>IF(OR(B74&lt;Podsumowanie!E$12,Podsumowanie!E$12=""),-F74+S74,0)</f>
        <v>1973.0004708319339</v>
      </c>
      <c r="AE74" s="51">
        <f t="shared" si="95"/>
        <v>0</v>
      </c>
      <c r="AG74" s="10">
        <f>Podsumowanie!E$4-SUM(AI$5:AI73)+SUM(W$42:W74)-SUM(X$42:X74)</f>
        <v>180347.3581355522</v>
      </c>
      <c r="AH74" s="10">
        <f t="shared" si="62"/>
        <v>598.15</v>
      </c>
      <c r="AI74" s="10">
        <f t="shared" si="63"/>
        <v>505.17</v>
      </c>
      <c r="AJ74" s="10">
        <f t="shared" si="64"/>
        <v>1103.32</v>
      </c>
      <c r="AK74" s="10">
        <f t="shared" si="109"/>
        <v>2520.24</v>
      </c>
      <c r="AL74" s="10">
        <f>Podsumowanie!E$2-SUM(AN$5:AN73)+SUM(R$42:R74)-SUM(S$42:S74)</f>
        <v>397771.58</v>
      </c>
      <c r="AM74" s="10">
        <f t="shared" si="66"/>
        <v>1319.28</v>
      </c>
      <c r="AN74" s="10">
        <f t="shared" si="67"/>
        <v>1114.21</v>
      </c>
      <c r="AO74" s="10">
        <f t="shared" si="68"/>
        <v>2433.49</v>
      </c>
      <c r="AP74" s="10">
        <f t="shared" si="69"/>
        <v>86.75</v>
      </c>
      <c r="AR74" s="43">
        <f t="shared" si="110"/>
        <v>39356</v>
      </c>
      <c r="AS74" s="11">
        <f>AS$5+SUM(AV$5:AV73)-SUM(X$5:X74)+SUM(W$5:W74)</f>
        <v>175409.1368274471</v>
      </c>
      <c r="AT74" s="10">
        <f t="shared" si="71"/>
        <v>-581.7736371443663</v>
      </c>
      <c r="AU74" s="10">
        <f>IF(AB74=1,IF(Q74="tak",AT74,PMT(M74/12,P74+1-SUM(AB$5:AB74),AS74)),0)</f>
        <v>-837.8357778643998</v>
      </c>
      <c r="AV74" s="10">
        <f t="shared" si="72"/>
        <v>-256.06214072003354</v>
      </c>
      <c r="AW74" s="10">
        <f t="shared" si="73"/>
        <v>-1858.0684045698792</v>
      </c>
      <c r="AY74" s="11">
        <f>AY$5+SUM(BA$5:BA73)+SUM(W$5:W73)-SUM(X$5:X73)</f>
        <v>174936.92719148562</v>
      </c>
      <c r="AZ74" s="11">
        <f t="shared" si="74"/>
        <v>-581.7736371443663</v>
      </c>
      <c r="BA74" s="11">
        <f t="shared" si="75"/>
        <v>-490.02</v>
      </c>
      <c r="BB74" s="11">
        <f t="shared" si="76"/>
        <v>-1071.7936371443661</v>
      </c>
      <c r="BC74" s="11">
        <f t="shared" si="111"/>
        <v>-2376.9167490950604</v>
      </c>
      <c r="BE74" s="172">
        <f t="shared" si="87"/>
        <v>0.0513</v>
      </c>
      <c r="BF74" s="44">
        <f>BE74+Podsumowanie!$E$6</f>
        <v>0.0633</v>
      </c>
      <c r="BG74" s="11">
        <f>BG$5+SUM(BH$5:BH73)+SUM(R$5:R73)-SUM(S$5:S73)</f>
        <v>399231.52402052935</v>
      </c>
      <c r="BH74" s="10">
        <f t="shared" si="81"/>
        <v>-377.6537432532791</v>
      </c>
      <c r="BI74" s="10">
        <f t="shared" si="79"/>
        <v>-2105.9462892082925</v>
      </c>
      <c r="BJ74" s="10">
        <f>IF(U74&lt;0,PMT(BF74/12,Podsumowanie!E$8-SUM(AB$5:AB74)+1,BG74),0)</f>
        <v>-2483.6000324615716</v>
      </c>
      <c r="BL74" s="11">
        <f>BL$5+SUM(BN$5:BN73)+SUM(R$5:R73)-SUM(S$5:S73)</f>
        <v>397771.5877437326</v>
      </c>
      <c r="BM74" s="11">
        <f t="shared" si="88"/>
        <v>-2098.2451253481895</v>
      </c>
      <c r="BN74" s="11">
        <f t="shared" si="89"/>
        <v>-1114.2061281337049</v>
      </c>
      <c r="BO74" s="11">
        <f t="shared" si="90"/>
        <v>-3212.451253481894</v>
      </c>
      <c r="BQ74" s="44">
        <f t="shared" si="91"/>
        <v>0.0634</v>
      </c>
      <c r="BR74" s="11">
        <f>BR$5+SUM(BS$5:BS73)+SUM(R$5:R73)-SUM(S$5:S73)+SUM(BV$5:BV73)</f>
        <v>400014.4382950028</v>
      </c>
      <c r="BS74" s="10">
        <f t="shared" si="101"/>
        <v>-377.6683757101164</v>
      </c>
      <c r="BT74" s="10">
        <f t="shared" si="102"/>
        <v>-2113.409615658598</v>
      </c>
      <c r="BU74" s="10">
        <f>IF(U74&lt;0,PMT(BQ74/12,Podsumowanie!E$8-SUM(AB$5:AB74)+1,BR74),0)</f>
        <v>-2491.0779913687143</v>
      </c>
      <c r="BV74" s="10">
        <f t="shared" si="96"/>
        <v>518.0775205367804</v>
      </c>
      <c r="BX74" s="11">
        <f>BX$5+SUM(BZ$5:BZ73)+SUM(R$5:R73)-SUM(S$5:S73)+SUM(CB$5,CB73)</f>
        <v>398910.3030416272</v>
      </c>
      <c r="BY74" s="10">
        <f t="shared" si="92"/>
        <v>-2107.5761010699302</v>
      </c>
      <c r="BZ74" s="10">
        <f t="shared" si="93"/>
        <v>-1117.395806839292</v>
      </c>
      <c r="CA74" s="10">
        <f t="shared" si="103"/>
        <v>-3224.971907909222</v>
      </c>
      <c r="CB74" s="10">
        <f t="shared" si="104"/>
        <v>1251.971437077288</v>
      </c>
      <c r="CD74" s="10">
        <f>CD$5+SUM(CE$5:CE73)+SUM(R$5:R73)-SUM(S$5:S73)-SUM(CF$5:CF73)</f>
        <v>400014.4382950028</v>
      </c>
      <c r="CE74" s="10">
        <f t="shared" si="97"/>
        <v>2107.5761010699302</v>
      </c>
      <c r="CF74" s="10">
        <f t="shared" si="98"/>
        <v>1973.0004708319339</v>
      </c>
      <c r="CG74" s="10">
        <f t="shared" si="99"/>
        <v>-134.5756302379964</v>
      </c>
      <c r="CI74" s="44">
        <v>0.7709</v>
      </c>
      <c r="CJ74" s="10">
        <f t="shared" si="100"/>
        <v>-1520.99</v>
      </c>
      <c r="CK74" s="4">
        <f t="shared" si="105"/>
        <v>0</v>
      </c>
      <c r="CM74" s="10">
        <f t="shared" si="106"/>
        <v>-6098.509303736693</v>
      </c>
      <c r="CN74" s="4">
        <f t="shared" si="107"/>
        <v>-26.071127273474364</v>
      </c>
    </row>
    <row r="75" spans="1:92" ht="15.75">
      <c r="A75" s="36"/>
      <c r="B75" s="37">
        <v>39387</v>
      </c>
      <c r="C75" s="77">
        <f t="shared" si="85"/>
        <v>2.2179</v>
      </c>
      <c r="D75" s="78">
        <f>C75*(1+Podsumowanie!E$11)</f>
        <v>2.284437</v>
      </c>
      <c r="E75" s="34">
        <f t="shared" si="53"/>
        <v>-863.748224602474</v>
      </c>
      <c r="F75" s="7">
        <f t="shared" si="82"/>
        <v>-1973.178402966202</v>
      </c>
      <c r="G75" s="7">
        <f t="shared" si="55"/>
        <v>-1905.0709917080721</v>
      </c>
      <c r="H75" s="7">
        <f t="shared" si="83"/>
        <v>68.10741125812979</v>
      </c>
      <c r="I75" s="32"/>
      <c r="J75" s="4" t="str">
        <f t="shared" si="108"/>
        <v xml:space="preserve"> </v>
      </c>
      <c r="K75" s="4">
        <f>IF(B75&lt;Podsumowanie!E$7,0,K74+1)</f>
        <v>5</v>
      </c>
      <c r="L75" s="100">
        <f t="shared" si="86"/>
        <v>0.0278</v>
      </c>
      <c r="M75" s="38">
        <f>L75+Podsumowanie!E$6</f>
        <v>0.0398</v>
      </c>
      <c r="N75" s="101">
        <f>MAX(Podsumowanie!E$4+SUM(AA$5:AA74)-SUM(X$5:X75)+SUM(W$5:W75),0)</f>
        <v>180570.18008940938</v>
      </c>
      <c r="O75" s="102">
        <f>MAX(Podsumowanie!E$2+SUM(V$5:V74)-SUM(S$5:S75)+SUM(R$5:R75),0)</f>
        <v>398263.06122268003</v>
      </c>
      <c r="P75" s="39">
        <f t="shared" si="58"/>
        <v>360</v>
      </c>
      <c r="Q75" s="40" t="str">
        <f>IF(AND(K75&gt;0,K75&lt;=Podsumowanie!E$9),"tak","nie")</f>
        <v>nie</v>
      </c>
      <c r="R75" s="41"/>
      <c r="S75" s="42"/>
      <c r="T75" s="88">
        <f t="shared" si="59"/>
        <v>-1320.905819721889</v>
      </c>
      <c r="U75" s="89">
        <f>IF(Q75="tak",T75,IF(P75-SUM(AB$5:AB75)+1&gt;0,IF(Podsumowanie!E$7&lt;B75,IF(SUM(AB$5:AB75)-Podsumowanie!E$9+1&gt;0,PMT(M75/12,P75+1-SUM(AB$5:AB75),O75),T75),0),0))</f>
        <v>-1905.0709917080721</v>
      </c>
      <c r="V75" s="89">
        <f t="shared" si="84"/>
        <v>-584.1651719861832</v>
      </c>
      <c r="W75" s="90" t="str">
        <f>IF(R75&gt;0,R75/(C75*(1-Podsumowanie!E$11))," ")</f>
        <v xml:space="preserve"> </v>
      </c>
      <c r="X75" s="90">
        <f t="shared" si="94"/>
        <v>0</v>
      </c>
      <c r="Y75" s="91">
        <f t="shared" si="3"/>
        <v>-598.8910972965411</v>
      </c>
      <c r="Z75" s="90">
        <f>IF(P75-SUM(AB$5:AB75)+1&gt;0,IF(Podsumowanie!E$7&lt;B75,IF(SUM(AB$5:AB75)-Podsumowanie!E$9+1&gt;0,PMT(M75/12,P75+1-SUM(AB$5:AB75),N75),Y75),0),0)</f>
        <v>-863.748224602474</v>
      </c>
      <c r="AA75" s="90">
        <f t="shared" si="80"/>
        <v>-264.85712730593286</v>
      </c>
      <c r="AB75" s="8">
        <f>IF(AND(Podsumowanie!E$7&lt;B75,SUM(AB$5:AB74)&lt;P74),1," ")</f>
        <v>1</v>
      </c>
      <c r="AD75" s="51">
        <f>IF(OR(B75&lt;Podsumowanie!E$12,Podsumowanie!E$12=""),-F75+S75,0)</f>
        <v>1973.178402966202</v>
      </c>
      <c r="AE75" s="51">
        <f t="shared" si="95"/>
        <v>0</v>
      </c>
      <c r="AG75" s="10">
        <f>Podsumowanie!E$4-SUM(AI$5:AI74)+SUM(W$42:W75)-SUM(X$42:X75)</f>
        <v>179842.1881355522</v>
      </c>
      <c r="AH75" s="10">
        <f t="shared" si="62"/>
        <v>596.48</v>
      </c>
      <c r="AI75" s="10">
        <f t="shared" si="63"/>
        <v>505.17</v>
      </c>
      <c r="AJ75" s="10">
        <f t="shared" si="64"/>
        <v>1101.65</v>
      </c>
      <c r="AK75" s="10">
        <f t="shared" si="109"/>
        <v>2516.65</v>
      </c>
      <c r="AL75" s="10">
        <f>Podsumowanie!E$2-SUM(AN$5:AN74)+SUM(R$42:R75)-SUM(S$42:S75)</f>
        <v>396657.37</v>
      </c>
      <c r="AM75" s="10">
        <f t="shared" si="66"/>
        <v>1315.58</v>
      </c>
      <c r="AN75" s="10">
        <f t="shared" si="67"/>
        <v>1114.21</v>
      </c>
      <c r="AO75" s="10">
        <f t="shared" si="68"/>
        <v>2429.79</v>
      </c>
      <c r="AP75" s="10">
        <f t="shared" si="69"/>
        <v>86.86000000000013</v>
      </c>
      <c r="AR75" s="43">
        <f t="shared" si="110"/>
        <v>39387</v>
      </c>
      <c r="AS75" s="11">
        <f>AS$5+SUM(AV$5:AV74)-SUM(X$5:X75)+SUM(W$5:W75)</f>
        <v>175153.07468672708</v>
      </c>
      <c r="AT75" s="10">
        <f t="shared" si="71"/>
        <v>-580.9243643776448</v>
      </c>
      <c r="AU75" s="10">
        <f>IF(AB75=1,IF(Q75="tak",AT75,PMT(M75/12,P75+1-SUM(AB$5:AB75),AS75)),0)</f>
        <v>-837.8357778643997</v>
      </c>
      <c r="AV75" s="10">
        <f t="shared" si="72"/>
        <v>-256.9114134867549</v>
      </c>
      <c r="AW75" s="10">
        <f t="shared" si="73"/>
        <v>-1858.2359717254521</v>
      </c>
      <c r="AY75" s="11">
        <f>AY$5+SUM(BA$5:BA74)+SUM(W$5:W74)-SUM(X$5:X74)</f>
        <v>174446.90719148563</v>
      </c>
      <c r="AZ75" s="11">
        <f t="shared" si="74"/>
        <v>-580.9243643776448</v>
      </c>
      <c r="BA75" s="11">
        <f t="shared" si="75"/>
        <v>-490.02</v>
      </c>
      <c r="BB75" s="11">
        <f t="shared" si="76"/>
        <v>-1070.944364377645</v>
      </c>
      <c r="BC75" s="11">
        <f t="shared" si="111"/>
        <v>-2375.2475057531788</v>
      </c>
      <c r="BE75" s="172">
        <f t="shared" si="87"/>
        <v>0.0536</v>
      </c>
      <c r="BF75" s="44">
        <f>BE75+Podsumowanie!$E$6</f>
        <v>0.0656</v>
      </c>
      <c r="BG75" s="11">
        <f>BG$5+SUM(BH$5:BH74)+SUM(R$5:R74)-SUM(S$5:S74)</f>
        <v>398853.87027727603</v>
      </c>
      <c r="BH75" s="10">
        <f t="shared" si="81"/>
        <v>-363.24131326512634</v>
      </c>
      <c r="BI75" s="10">
        <f t="shared" si="79"/>
        <v>-2180.401157515776</v>
      </c>
      <c r="BJ75" s="10">
        <f>IF(U75&lt;0,PMT(BF75/12,Podsumowanie!E$8-SUM(AB$5:AB75)+1,BG75),0)</f>
        <v>-2543.6424707809024</v>
      </c>
      <c r="BL75" s="11">
        <f>BL$5+SUM(BN$5:BN74)+SUM(R$5:R74)-SUM(S$5:S74)</f>
        <v>396657.38161559886</v>
      </c>
      <c r="BM75" s="11">
        <f t="shared" si="88"/>
        <v>-2168.393686165274</v>
      </c>
      <c r="BN75" s="11">
        <f t="shared" si="89"/>
        <v>-1114.2061281337046</v>
      </c>
      <c r="BO75" s="11">
        <f t="shared" si="90"/>
        <v>-3282.599814298979</v>
      </c>
      <c r="BQ75" s="44">
        <f t="shared" si="91"/>
        <v>0.06570000000000001</v>
      </c>
      <c r="BR75" s="11">
        <f>BR$5+SUM(BS$5:BS74)+SUM(R$5:R74)-SUM(S$5:S74)+SUM(BV$5:BV74)</f>
        <v>400154.84743982943</v>
      </c>
      <c r="BS75" s="10">
        <f t="shared" si="101"/>
        <v>-363.72431909537</v>
      </c>
      <c r="BT75" s="10">
        <f t="shared" si="102"/>
        <v>-2190.8477897330663</v>
      </c>
      <c r="BU75" s="10">
        <f>IF(U75&lt;0,PMT(BQ75/12,Podsumowanie!E$8-SUM(AB$5:AB75)+1,BR75),0)</f>
        <v>-2554.5721088284363</v>
      </c>
      <c r="BV75" s="10">
        <f t="shared" si="96"/>
        <v>581.3937058622344</v>
      </c>
      <c r="BX75" s="11">
        <f>BX$5+SUM(BZ$5:BZ74)+SUM(R$5:R74)-SUM(S$5:S74)+SUM(CB$5,CB74)</f>
        <v>397903.0791972852</v>
      </c>
      <c r="BY75" s="10">
        <f t="shared" si="92"/>
        <v>-2178.519358605137</v>
      </c>
      <c r="BZ75" s="10">
        <f t="shared" si="93"/>
        <v>-1117.7052786440595</v>
      </c>
      <c r="CA75" s="10">
        <f t="shared" si="103"/>
        <v>-3296.2246372491963</v>
      </c>
      <c r="CB75" s="10">
        <f t="shared" si="104"/>
        <v>1323.0462342829944</v>
      </c>
      <c r="CD75" s="10">
        <f>CD$5+SUM(CE$5:CE74)+SUM(R$5:R74)-SUM(S$5:S74)-SUM(CF$5:CF74)</f>
        <v>400149.0139252408</v>
      </c>
      <c r="CE75" s="10">
        <f t="shared" si="97"/>
        <v>2178.519358605137</v>
      </c>
      <c r="CF75" s="10">
        <f t="shared" si="98"/>
        <v>1973.178402966202</v>
      </c>
      <c r="CG75" s="10">
        <f t="shared" si="99"/>
        <v>-205.34095563893493</v>
      </c>
      <c r="CI75" s="44">
        <v>0.7603</v>
      </c>
      <c r="CJ75" s="10">
        <f t="shared" si="100"/>
        <v>-1500.21</v>
      </c>
      <c r="CK75" s="4">
        <f t="shared" si="105"/>
        <v>0</v>
      </c>
      <c r="CM75" s="10">
        <f t="shared" si="106"/>
        <v>-8071.687706702895</v>
      </c>
      <c r="CN75" s="4">
        <f t="shared" si="107"/>
        <v>-36.05353842327293</v>
      </c>
    </row>
    <row r="76" spans="1:92" ht="15.75">
      <c r="A76" s="36"/>
      <c r="B76" s="37">
        <v>39417</v>
      </c>
      <c r="C76" s="77">
        <f t="shared" si="85"/>
        <v>2.1721</v>
      </c>
      <c r="D76" s="78">
        <f>C76*(1+Podsumowanie!E$11)</f>
        <v>2.237263</v>
      </c>
      <c r="E76" s="34">
        <f t="shared" si="53"/>
        <v>-863.7482246024741</v>
      </c>
      <c r="F76" s="7">
        <f t="shared" si="82"/>
        <v>-1932.431944218805</v>
      </c>
      <c r="G76" s="7">
        <f t="shared" si="55"/>
        <v>-1905.0709917080721</v>
      </c>
      <c r="H76" s="7">
        <f t="shared" si="83"/>
        <v>27.360952510732886</v>
      </c>
      <c r="I76" s="32"/>
      <c r="J76" s="4" t="str">
        <f t="shared" si="108"/>
        <v xml:space="preserve"> </v>
      </c>
      <c r="K76" s="4">
        <f>IF(B76&lt;Podsumowanie!E$7,0,K75+1)</f>
        <v>6</v>
      </c>
      <c r="L76" s="100">
        <f t="shared" si="86"/>
        <v>0.0278</v>
      </c>
      <c r="M76" s="38">
        <f>L76+Podsumowanie!E$6</f>
        <v>0.0398</v>
      </c>
      <c r="N76" s="101">
        <f>MAX(Podsumowanie!E$4+SUM(AA$5:AA75)-SUM(X$5:X76)+SUM(W$5:W76),0)</f>
        <v>180305.32296210344</v>
      </c>
      <c r="O76" s="102">
        <f>MAX(Podsumowanie!E$2+SUM(V$5:V75)-SUM(S$5:S76)+SUM(R$5:R76),0)</f>
        <v>397678.8960506938</v>
      </c>
      <c r="P76" s="39">
        <f t="shared" si="58"/>
        <v>360</v>
      </c>
      <c r="Q76" s="40" t="str">
        <f>IF(AND(K76&gt;0,K76&lt;=Podsumowanie!E$9),"tak","nie")</f>
        <v>nie</v>
      </c>
      <c r="R76" s="41"/>
      <c r="S76" s="42"/>
      <c r="T76" s="88">
        <f t="shared" si="59"/>
        <v>-1318.9683385681344</v>
      </c>
      <c r="U76" s="89">
        <f>IF(Q76="tak",T76,IF(P76-SUM(AB$5:AB76)+1&gt;0,IF(Podsumowanie!E$7&lt;B76,IF(SUM(AB$5:AB76)-Podsumowanie!E$9+1&gt;0,PMT(M76/12,P76+1-SUM(AB$5:AB76),O76),T76),0),0))</f>
        <v>-1905.0709917080721</v>
      </c>
      <c r="V76" s="89">
        <f t="shared" si="84"/>
        <v>-586.1026531399377</v>
      </c>
      <c r="W76" s="90" t="str">
        <f>IF(R76&gt;0,R76/(C76*(1-Podsumowanie!E$11))," ")</f>
        <v xml:space="preserve"> </v>
      </c>
      <c r="X76" s="90">
        <f t="shared" si="94"/>
        <v>0</v>
      </c>
      <c r="Y76" s="91">
        <f t="shared" si="3"/>
        <v>-598.0126544909764</v>
      </c>
      <c r="Z76" s="90">
        <f>IF(P76-SUM(AB$5:AB76)+1&gt;0,IF(Podsumowanie!E$7&lt;B76,IF(SUM(AB$5:AB76)-Podsumowanie!E$9+1&gt;0,PMT(M76/12,P76+1-SUM(AB$5:AB76),N76),Y76),0),0)</f>
        <v>-863.7482246024741</v>
      </c>
      <c r="AA76" s="90">
        <f t="shared" si="80"/>
        <v>-265.73557011149774</v>
      </c>
      <c r="AB76" s="8">
        <f>IF(AND(Podsumowanie!E$7&lt;B76,SUM(AB$5:AB75)&lt;P75),1," ")</f>
        <v>1</v>
      </c>
      <c r="AD76" s="51">
        <f>IF(OR(B76&lt;Podsumowanie!E$12,Podsumowanie!E$12=""),-F76+S76,0)</f>
        <v>1932.431944218805</v>
      </c>
      <c r="AE76" s="51">
        <f t="shared" si="95"/>
        <v>0</v>
      </c>
      <c r="AG76" s="10">
        <f>Podsumowanie!E$4-SUM(AI$5:AI75)+SUM(W$42:W76)-SUM(X$42:X76)</f>
        <v>179337.0181355522</v>
      </c>
      <c r="AH76" s="10">
        <f t="shared" si="62"/>
        <v>594.8</v>
      </c>
      <c r="AI76" s="10">
        <f t="shared" si="63"/>
        <v>505.17</v>
      </c>
      <c r="AJ76" s="10">
        <f t="shared" si="64"/>
        <v>1099.97</v>
      </c>
      <c r="AK76" s="10">
        <f t="shared" si="109"/>
        <v>2460.92</v>
      </c>
      <c r="AL76" s="10">
        <f>Podsumowanie!E$2-SUM(AN$5:AN75)+SUM(R$42:R76)-SUM(S$42:S76)</f>
        <v>395543.16</v>
      </c>
      <c r="AM76" s="10">
        <f t="shared" si="66"/>
        <v>1311.88</v>
      </c>
      <c r="AN76" s="10">
        <f t="shared" si="67"/>
        <v>1114.21</v>
      </c>
      <c r="AO76" s="10">
        <f t="shared" si="68"/>
        <v>2426.09</v>
      </c>
      <c r="AP76" s="10">
        <f t="shared" si="69"/>
        <v>34.82999999999993</v>
      </c>
      <c r="AR76" s="43">
        <f t="shared" si="110"/>
        <v>39417</v>
      </c>
      <c r="AS76" s="11">
        <f>AS$5+SUM(AV$5:AV75)-SUM(X$5:X76)+SUM(W$5:W76)</f>
        <v>174896.16327324032</v>
      </c>
      <c r="AT76" s="10">
        <f t="shared" si="71"/>
        <v>-580.0722748562471</v>
      </c>
      <c r="AU76" s="10">
        <f>IF(AB76=1,IF(Q76="tak",AT76,PMT(M76/12,P76+1-SUM(AB$5:AB76),AS76)),0)</f>
        <v>-837.8357778643999</v>
      </c>
      <c r="AV76" s="10">
        <f t="shared" si="72"/>
        <v>-257.76350300815284</v>
      </c>
      <c r="AW76" s="10">
        <f t="shared" si="73"/>
        <v>-1819.863093099263</v>
      </c>
      <c r="AY76" s="11">
        <f>AY$5+SUM(BA$5:BA75)+SUM(W$5:W75)-SUM(X$5:X75)</f>
        <v>173956.88719148564</v>
      </c>
      <c r="AZ76" s="11">
        <f t="shared" si="74"/>
        <v>-580.0722748562471</v>
      </c>
      <c r="BA76" s="11">
        <f t="shared" si="75"/>
        <v>-490.02</v>
      </c>
      <c r="BB76" s="11">
        <f t="shared" si="76"/>
        <v>-1070.092274856247</v>
      </c>
      <c r="BC76" s="11">
        <f t="shared" si="111"/>
        <v>-2324.347430215254</v>
      </c>
      <c r="BE76" s="172">
        <f t="shared" si="87"/>
        <v>0.0567</v>
      </c>
      <c r="BF76" s="44">
        <f>BE76+Podsumowanie!$E$6</f>
        <v>0.0687</v>
      </c>
      <c r="BG76" s="11">
        <f>BG$5+SUM(BH$5:BH75)+SUM(R$5:R75)-SUM(S$5:S75)</f>
        <v>398490.6289640109</v>
      </c>
      <c r="BH76" s="10">
        <f t="shared" si="81"/>
        <v>-344.01706375391177</v>
      </c>
      <c r="BI76" s="10">
        <f t="shared" si="79"/>
        <v>-2281.3588508189623</v>
      </c>
      <c r="BJ76" s="10">
        <f>IF(U76&lt;0,PMT(BF76/12,Podsumowanie!E$8-SUM(AB$5:AB76)+1,BG76),0)</f>
        <v>-2625.375914572874</v>
      </c>
      <c r="BL76" s="11">
        <f>BL$5+SUM(BN$5:BN75)+SUM(R$5:R75)-SUM(S$5:S75)</f>
        <v>395543.17548746517</v>
      </c>
      <c r="BM76" s="11">
        <f t="shared" si="88"/>
        <v>-2264.484679665738</v>
      </c>
      <c r="BN76" s="11">
        <f t="shared" si="89"/>
        <v>-1114.2061281337046</v>
      </c>
      <c r="BO76" s="11">
        <f t="shared" si="90"/>
        <v>-3378.6908077994426</v>
      </c>
      <c r="BQ76" s="44">
        <f t="shared" si="91"/>
        <v>0.0688</v>
      </c>
      <c r="BR76" s="11">
        <f>BR$5+SUM(BS$5:BS75)+SUM(R$5:R75)-SUM(S$5:S75)+SUM(BV$5:BV75)</f>
        <v>400372.5168265963</v>
      </c>
      <c r="BS76" s="10">
        <f t="shared" si="101"/>
        <v>-344.97205264073045</v>
      </c>
      <c r="BT76" s="10">
        <f t="shared" si="102"/>
        <v>-2295.4690964724855</v>
      </c>
      <c r="BU76" s="10">
        <f>IF(U76&lt;0,PMT(BQ76/12,Podsumowanie!E$8-SUM(AB$5:AB76)+1,BR76),0)</f>
        <v>-2640.441149113216</v>
      </c>
      <c r="BV76" s="10">
        <f t="shared" si="96"/>
        <v>708.0092048944109</v>
      </c>
      <c r="BX76" s="11">
        <f>BX$5+SUM(BZ$5:BZ75)+SUM(R$5:R75)-SUM(S$5:S75)+SUM(CB$5,CB75)</f>
        <v>396856.44871584687</v>
      </c>
      <c r="BY76" s="10">
        <f t="shared" si="92"/>
        <v>-2275.310305970855</v>
      </c>
      <c r="BZ76" s="10">
        <f t="shared" si="93"/>
        <v>-1117.9054893404136</v>
      </c>
      <c r="CA76" s="10">
        <f t="shared" si="103"/>
        <v>-3393.2157953112687</v>
      </c>
      <c r="CB76" s="10">
        <f t="shared" si="104"/>
        <v>1460.7838510924637</v>
      </c>
      <c r="CD76" s="10">
        <f>CD$5+SUM(CE$5:CE75)+SUM(R$5:R75)-SUM(S$5:S75)-SUM(CF$5:CF75)</f>
        <v>400354.3548808797</v>
      </c>
      <c r="CE76" s="10">
        <f t="shared" si="97"/>
        <v>2275.310305970855</v>
      </c>
      <c r="CF76" s="10">
        <f t="shared" si="98"/>
        <v>1932.431944218805</v>
      </c>
      <c r="CG76" s="10">
        <f t="shared" si="99"/>
        <v>-342.87836175205007</v>
      </c>
      <c r="CI76" s="44">
        <v>0.7481</v>
      </c>
      <c r="CJ76" s="10">
        <f t="shared" si="100"/>
        <v>-1445.65</v>
      </c>
      <c r="CK76" s="4">
        <f t="shared" si="105"/>
        <v>0</v>
      </c>
      <c r="CM76" s="10">
        <f t="shared" si="106"/>
        <v>-10004.1196509217</v>
      </c>
      <c r="CN76" s="4">
        <f t="shared" si="107"/>
        <v>-47.26946535060503</v>
      </c>
    </row>
    <row r="77" spans="1:92" ht="15.75">
      <c r="A77" s="36">
        <v>2008</v>
      </c>
      <c r="B77" s="37">
        <v>39448</v>
      </c>
      <c r="C77" s="77">
        <f t="shared" si="85"/>
        <v>2.2244</v>
      </c>
      <c r="D77" s="78">
        <f>C77*(1+Podsumowanie!E$11)</f>
        <v>2.291132</v>
      </c>
      <c r="E77" s="34">
        <f t="shared" si="53"/>
        <v>-863.748224602474</v>
      </c>
      <c r="F77" s="7">
        <f t="shared" si="82"/>
        <v>-1978.9611973299156</v>
      </c>
      <c r="G77" s="7">
        <f t="shared" si="55"/>
        <v>-1905.0709917080721</v>
      </c>
      <c r="H77" s="7">
        <f t="shared" si="83"/>
        <v>73.8902056218435</v>
      </c>
      <c r="I77" s="32"/>
      <c r="J77" s="4" t="str">
        <f t="shared" si="108"/>
        <v xml:space="preserve"> </v>
      </c>
      <c r="K77" s="4">
        <f>IF(B77&lt;Podsumowanie!E$7,0,K76+1)</f>
        <v>7</v>
      </c>
      <c r="L77" s="100">
        <f t="shared" si="86"/>
        <v>0.0278</v>
      </c>
      <c r="M77" s="38">
        <f>L77+Podsumowanie!E$6</f>
        <v>0.0398</v>
      </c>
      <c r="N77" s="101">
        <f>MAX(Podsumowanie!E$4+SUM(AA$5:AA76)-SUM(X$5:X77)+SUM(W$5:W77),0)</f>
        <v>180039.58739199192</v>
      </c>
      <c r="O77" s="102">
        <f>MAX(Podsumowanie!E$2+SUM(V$5:V76)-SUM(S$5:S77)+SUM(R$5:R77),0)</f>
        <v>397092.7933975539</v>
      </c>
      <c r="P77" s="39">
        <f t="shared" si="58"/>
        <v>360</v>
      </c>
      <c r="Q77" s="40" t="str">
        <f>IF(AND(K77&gt;0,K77&lt;=Podsumowanie!E$9),"tak","nie")</f>
        <v>nie</v>
      </c>
      <c r="R77" s="41"/>
      <c r="S77" s="42"/>
      <c r="T77" s="88">
        <f t="shared" si="59"/>
        <v>-1317.0244314352205</v>
      </c>
      <c r="U77" s="89">
        <f>IF(Q77="tak",T77,IF(P77-SUM(AB$5:AB77)+1&gt;0,IF(Podsumowanie!E$7&lt;B77,IF(SUM(AB$5:AB77)-Podsumowanie!E$9+1&gt;0,PMT(M77/12,P77+1-SUM(AB$5:AB77),O77),T77),0),0))</f>
        <v>-1905.0709917080721</v>
      </c>
      <c r="V77" s="89">
        <f t="shared" si="84"/>
        <v>-588.0465602728516</v>
      </c>
      <c r="W77" s="90" t="str">
        <f>IF(R77&gt;0,R77/(C77*(1-Podsumowanie!E$11))," ")</f>
        <v xml:space="preserve"> </v>
      </c>
      <c r="X77" s="90">
        <f t="shared" si="94"/>
        <v>0</v>
      </c>
      <c r="Y77" s="91">
        <f t="shared" si="3"/>
        <v>-597.13129818344</v>
      </c>
      <c r="Z77" s="90">
        <f>IF(P77-SUM(AB$5:AB77)+1&gt;0,IF(Podsumowanie!E$7&lt;B77,IF(SUM(AB$5:AB77)-Podsumowanie!E$9+1&gt;0,PMT(M77/12,P77+1-SUM(AB$5:AB77),N77),Y77),0),0)</f>
        <v>-863.748224602474</v>
      </c>
      <c r="AA77" s="90">
        <f t="shared" si="80"/>
        <v>-266.61692641903403</v>
      </c>
      <c r="AB77" s="8">
        <f>IF(AND(Podsumowanie!E$7&lt;B77,SUM(AB$5:AB76)&lt;P76),1," ")</f>
        <v>1</v>
      </c>
      <c r="AD77" s="51">
        <f>IF(OR(B77&lt;Podsumowanie!E$12,Podsumowanie!E$12=""),-F77+S77,0)</f>
        <v>1978.9611973299156</v>
      </c>
      <c r="AE77" s="51">
        <f t="shared" si="95"/>
        <v>0</v>
      </c>
      <c r="AG77" s="10">
        <f>Podsumowanie!E$4-SUM(AI$5:AI76)+SUM(W$42:W77)-SUM(X$42:X77)</f>
        <v>178831.8481355522</v>
      </c>
      <c r="AH77" s="10">
        <f t="shared" si="62"/>
        <v>593.13</v>
      </c>
      <c r="AI77" s="10">
        <f t="shared" si="63"/>
        <v>505.17</v>
      </c>
      <c r="AJ77" s="10">
        <f t="shared" si="64"/>
        <v>1098.3</v>
      </c>
      <c r="AK77" s="10">
        <f t="shared" si="109"/>
        <v>2516.35</v>
      </c>
      <c r="AL77" s="10">
        <f>Podsumowanie!E$2-SUM(AN$5:AN76)+SUM(R$42:R77)-SUM(S$42:S77)</f>
        <v>394428.95</v>
      </c>
      <c r="AM77" s="10">
        <f t="shared" si="66"/>
        <v>1308.19</v>
      </c>
      <c r="AN77" s="10">
        <f t="shared" si="67"/>
        <v>1114.21</v>
      </c>
      <c r="AO77" s="10">
        <f t="shared" si="68"/>
        <v>2422.4</v>
      </c>
      <c r="AP77" s="10">
        <f t="shared" si="69"/>
        <v>93.94999999999982</v>
      </c>
      <c r="AR77" s="43">
        <f t="shared" si="110"/>
        <v>39448</v>
      </c>
      <c r="AS77" s="11">
        <f>AS$5+SUM(AV$5:AV76)-SUM(X$5:X77)+SUM(W$5:W77)</f>
        <v>174638.39977023218</v>
      </c>
      <c r="AT77" s="10">
        <f t="shared" si="71"/>
        <v>-579.2173592379368</v>
      </c>
      <c r="AU77" s="10">
        <f>IF(AB77=1,IF(Q77="tak",AT77,PMT(M77/12,P77+1-SUM(AB$5:AB77),AS77)),0)</f>
        <v>-837.8357778643999</v>
      </c>
      <c r="AV77" s="10">
        <f t="shared" si="72"/>
        <v>-258.61841862646315</v>
      </c>
      <c r="AW77" s="10">
        <f t="shared" si="73"/>
        <v>-1863.6819042815714</v>
      </c>
      <c r="AY77" s="11">
        <f>AY$5+SUM(BA$5:BA76)+SUM(W$5:W76)-SUM(X$5:X76)</f>
        <v>173466.86719148562</v>
      </c>
      <c r="AZ77" s="11">
        <f t="shared" si="74"/>
        <v>-579.2173592379368</v>
      </c>
      <c r="BA77" s="11">
        <f t="shared" si="75"/>
        <v>-490.02</v>
      </c>
      <c r="BB77" s="11">
        <f t="shared" si="76"/>
        <v>-1069.2373592379367</v>
      </c>
      <c r="BC77" s="11">
        <f t="shared" si="111"/>
        <v>-2378.4115818888667</v>
      </c>
      <c r="BE77" s="172">
        <f t="shared" si="87"/>
        <v>0.0564</v>
      </c>
      <c r="BF77" s="44">
        <f>BE77+Podsumowanie!$E$6</f>
        <v>0.0684</v>
      </c>
      <c r="BG77" s="11">
        <f>BG$5+SUM(BH$5:BH76)+SUM(R$5:R76)-SUM(S$5:S76)</f>
        <v>398146.611900257</v>
      </c>
      <c r="BH77" s="10">
        <f t="shared" si="81"/>
        <v>-347.99720907403844</v>
      </c>
      <c r="BI77" s="10">
        <f t="shared" si="79"/>
        <v>-2269.435687831465</v>
      </c>
      <c r="BJ77" s="10">
        <f>IF(U77&lt;0,PMT(BF77/12,Podsumowanie!E$8-SUM(AB$5:AB77)+1,BG77),0)</f>
        <v>-2617.4328969055036</v>
      </c>
      <c r="BL77" s="11">
        <f>BL$5+SUM(BN$5:BN76)+SUM(R$5:R76)-SUM(S$5:S76)</f>
        <v>394428.9693593315</v>
      </c>
      <c r="BM77" s="11">
        <f t="shared" si="88"/>
        <v>-2248.2451253481895</v>
      </c>
      <c r="BN77" s="11">
        <f t="shared" si="89"/>
        <v>-1114.2061281337046</v>
      </c>
      <c r="BO77" s="11">
        <f t="shared" si="90"/>
        <v>-3362.451253481894</v>
      </c>
      <c r="BQ77" s="44">
        <f t="shared" si="91"/>
        <v>0.0685</v>
      </c>
      <c r="BR77" s="11">
        <f>BR$5+SUM(BS$5:BS76)+SUM(R$5:R76)-SUM(S$5:S76)+SUM(BV$5:BV76)</f>
        <v>400735.55397884996</v>
      </c>
      <c r="BS77" s="10">
        <f t="shared" si="101"/>
        <v>-349.5843804007786</v>
      </c>
      <c r="BT77" s="10">
        <f t="shared" si="102"/>
        <v>-2287.532120629269</v>
      </c>
      <c r="BU77" s="10">
        <f>IF(U77&lt;0,PMT(BQ77/12,Podsumowanie!E$8-SUM(AB$5:AB77)+1,BR77),0)</f>
        <v>-2637.1165010300474</v>
      </c>
      <c r="BV77" s="10">
        <f t="shared" si="96"/>
        <v>658.1553037001318</v>
      </c>
      <c r="BX77" s="11">
        <f>BX$5+SUM(BZ$5:BZ76)+SUM(R$5:R76)-SUM(S$5:S76)+SUM(CB$5,CB76)</f>
        <v>395876.2808433159</v>
      </c>
      <c r="BY77" s="10">
        <f t="shared" si="92"/>
        <v>-2259.793769813928</v>
      </c>
      <c r="BZ77" s="10">
        <f t="shared" si="93"/>
        <v>-1118.2945786534347</v>
      </c>
      <c r="CA77" s="10">
        <f t="shared" si="103"/>
        <v>-3378.0883484673627</v>
      </c>
      <c r="CB77" s="10">
        <f t="shared" si="104"/>
        <v>1399.127151137447</v>
      </c>
      <c r="CD77" s="10">
        <f>CD$5+SUM(CE$5:CE76)+SUM(R$5:R76)-SUM(S$5:S76)-SUM(CF$5:CF76)</f>
        <v>400697.2332426317</v>
      </c>
      <c r="CE77" s="10">
        <f t="shared" si="97"/>
        <v>2259.793769813928</v>
      </c>
      <c r="CF77" s="10">
        <f t="shared" si="98"/>
        <v>1978.9611973299156</v>
      </c>
      <c r="CG77" s="10">
        <f t="shared" si="99"/>
        <v>-280.8325724840124</v>
      </c>
      <c r="CI77" s="44">
        <v>0.7429</v>
      </c>
      <c r="CJ77" s="10">
        <f t="shared" si="100"/>
        <v>-1470.17</v>
      </c>
      <c r="CK77" s="4">
        <f t="shared" si="105"/>
        <v>0</v>
      </c>
      <c r="CM77" s="10">
        <f t="shared" si="106"/>
        <v>-11983.080848251617</v>
      </c>
      <c r="CN77" s="4">
        <f t="shared" si="107"/>
        <v>-56.3204799867826</v>
      </c>
    </row>
    <row r="78" spans="1:92" ht="15.75">
      <c r="A78" s="36"/>
      <c r="B78" s="37">
        <v>39479</v>
      </c>
      <c r="C78" s="77">
        <f t="shared" si="85"/>
        <v>2.2278</v>
      </c>
      <c r="D78" s="78">
        <f>C78*(1+Podsumowanie!E$11)</f>
        <v>2.294634</v>
      </c>
      <c r="E78" s="34">
        <f t="shared" si="53"/>
        <v>-851.4243923101405</v>
      </c>
      <c r="F78" s="7">
        <f t="shared" si="82"/>
        <v>-1953.7073590241869</v>
      </c>
      <c r="G78" s="7">
        <f t="shared" si="55"/>
        <v>-1877.8897197377535</v>
      </c>
      <c r="H78" s="7">
        <f t="shared" si="83"/>
        <v>75.8176392864334</v>
      </c>
      <c r="I78" s="32"/>
      <c r="J78" s="4" t="str">
        <f t="shared" si="108"/>
        <v xml:space="preserve"> </v>
      </c>
      <c r="K78" s="4">
        <f>IF(B78&lt;Podsumowanie!E$7,0,K77+1)</f>
        <v>8</v>
      </c>
      <c r="L78" s="100">
        <f t="shared" si="86"/>
        <v>0.0266</v>
      </c>
      <c r="M78" s="38">
        <f>L78+Podsumowanie!E$6</f>
        <v>0.038599999999999995</v>
      </c>
      <c r="N78" s="101">
        <f>MAX(Podsumowanie!E$4+SUM(AA$5:AA77)-SUM(X$5:X78)+SUM(W$5:W78),0)</f>
        <v>179772.9704655729</v>
      </c>
      <c r="O78" s="102">
        <f>MAX(Podsumowanie!E$2+SUM(V$5:V77)-SUM(S$5:S78)+SUM(R$5:R78),0)</f>
        <v>396504.74683728104</v>
      </c>
      <c r="P78" s="39">
        <f t="shared" si="58"/>
        <v>360</v>
      </c>
      <c r="Q78" s="40" t="str">
        <f>IF(AND(K78&gt;0,K78&lt;=Podsumowanie!E$9),"tak","nie")</f>
        <v>nie</v>
      </c>
      <c r="R78" s="41"/>
      <c r="S78" s="42"/>
      <c r="T78" s="88">
        <f t="shared" si="59"/>
        <v>-1275.4236023265873</v>
      </c>
      <c r="U78" s="89">
        <f>IF(Q78="tak",T78,IF(P78-SUM(AB$5:AB78)+1&gt;0,IF(Podsumowanie!E$7&lt;B78,IF(SUM(AB$5:AB78)-Podsumowanie!E$9+1&gt;0,PMT(M78/12,P78+1-SUM(AB$5:AB78),O78),T78),0),0))</f>
        <v>-1877.8897197377535</v>
      </c>
      <c r="V78" s="89">
        <f t="shared" si="84"/>
        <v>-602.4661174111661</v>
      </c>
      <c r="W78" s="90" t="str">
        <f>IF(R78&gt;0,R78/(C78*(1-Podsumowanie!E$11))," ")</f>
        <v xml:space="preserve"> </v>
      </c>
      <c r="X78" s="90">
        <f t="shared" si="94"/>
        <v>0</v>
      </c>
      <c r="Y78" s="91">
        <f t="shared" si="3"/>
        <v>-578.2697216642595</v>
      </c>
      <c r="Z78" s="90">
        <f>IF(P78-SUM(AB$5:AB78)+1&gt;0,IF(Podsumowanie!E$7&lt;B78,IF(SUM(AB$5:AB78)-Podsumowanie!E$9+1&gt;0,PMT(M78/12,P78+1-SUM(AB$5:AB78),N78),Y78),0),0)</f>
        <v>-851.4243923101405</v>
      </c>
      <c r="AA78" s="90">
        <f t="shared" si="80"/>
        <v>-273.1546706458811</v>
      </c>
      <c r="AB78" s="8">
        <f>IF(AND(Podsumowanie!E$7&lt;B78,SUM(AB$5:AB77)&lt;P77),1," ")</f>
        <v>1</v>
      </c>
      <c r="AD78" s="51">
        <f>IF(OR(B78&lt;Podsumowanie!E$12,Podsumowanie!E$12=""),-F78+S78,0)</f>
        <v>1953.7073590241869</v>
      </c>
      <c r="AE78" s="51">
        <f t="shared" si="95"/>
        <v>0</v>
      </c>
      <c r="AG78" s="10">
        <f>Podsumowanie!E$4-SUM(AI$5:AI77)+SUM(W$42:W78)-SUM(X$42:X78)</f>
        <v>178326.6781355522</v>
      </c>
      <c r="AH78" s="10">
        <f t="shared" si="62"/>
        <v>573.62</v>
      </c>
      <c r="AI78" s="10">
        <f t="shared" si="63"/>
        <v>505.17</v>
      </c>
      <c r="AJ78" s="10">
        <f t="shared" si="64"/>
        <v>1078.79</v>
      </c>
      <c r="AK78" s="10">
        <f t="shared" si="109"/>
        <v>2475.43</v>
      </c>
      <c r="AL78" s="10">
        <f>Podsumowanie!E$2-SUM(AN$5:AN77)+SUM(R$42:R78)-SUM(S$42:S78)</f>
        <v>393314.74</v>
      </c>
      <c r="AM78" s="10">
        <f t="shared" si="66"/>
        <v>1265.16</v>
      </c>
      <c r="AN78" s="10">
        <f t="shared" si="67"/>
        <v>1114.21</v>
      </c>
      <c r="AO78" s="10">
        <f t="shared" si="68"/>
        <v>2379.37</v>
      </c>
      <c r="AP78" s="10">
        <f t="shared" si="69"/>
        <v>96.05999999999995</v>
      </c>
      <c r="AR78" s="43">
        <f t="shared" si="110"/>
        <v>39479</v>
      </c>
      <c r="AS78" s="11">
        <f>AS$5+SUM(AV$5:AV77)-SUM(X$5:X78)+SUM(W$5:W78)</f>
        <v>174379.78135160572</v>
      </c>
      <c r="AT78" s="10">
        <f t="shared" si="71"/>
        <v>-560.9216300143316</v>
      </c>
      <c r="AU78" s="10">
        <f>IF(AB78=1,IF(Q78="tak",AT78,PMT(M78/12,P78+1-SUM(AB$5:AB78),AS78)),0)</f>
        <v>-825.8816605408364</v>
      </c>
      <c r="AV78" s="10">
        <f t="shared" si="72"/>
        <v>-264.96003052650474</v>
      </c>
      <c r="AW78" s="10">
        <f t="shared" si="73"/>
        <v>-1839.8991633528751</v>
      </c>
      <c r="AY78" s="11">
        <f>AY$5+SUM(BA$5:BA77)+SUM(W$5:W77)-SUM(X$5:X77)</f>
        <v>172976.84719148563</v>
      </c>
      <c r="AZ78" s="11">
        <f t="shared" si="74"/>
        <v>-560.9216300143316</v>
      </c>
      <c r="BA78" s="11">
        <f t="shared" si="75"/>
        <v>-490.02</v>
      </c>
      <c r="BB78" s="11">
        <f t="shared" si="76"/>
        <v>-1050.9416300143316</v>
      </c>
      <c r="BC78" s="11">
        <f t="shared" si="111"/>
        <v>-2341.287763345928</v>
      </c>
      <c r="BE78" s="172">
        <f t="shared" si="87"/>
        <v>0.0574</v>
      </c>
      <c r="BF78" s="44">
        <f>BE78+Podsumowanie!$E$6</f>
        <v>0.0694</v>
      </c>
      <c r="BG78" s="11">
        <f>BG$5+SUM(BH$5:BH77)+SUM(R$5:R77)-SUM(S$5:S77)</f>
        <v>397798.614691183</v>
      </c>
      <c r="BH78" s="10">
        <f t="shared" si="81"/>
        <v>-343.3015042388174</v>
      </c>
      <c r="BI78" s="10">
        <f t="shared" si="79"/>
        <v>-2300.601988297342</v>
      </c>
      <c r="BJ78" s="10">
        <f>IF(U78&lt;0,PMT(BF78/12,Podsumowanie!E$8-SUM(AB$5:AB78)+1,BG78),0)</f>
        <v>-2643.9034925361593</v>
      </c>
      <c r="BL78" s="11">
        <f>BL$5+SUM(BN$5:BN77)+SUM(R$5:R77)-SUM(S$5:S77)</f>
        <v>393314.7632311978</v>
      </c>
      <c r="BM78" s="11">
        <f t="shared" si="88"/>
        <v>-2274.670380687094</v>
      </c>
      <c r="BN78" s="11">
        <f t="shared" si="89"/>
        <v>-1114.2061281337049</v>
      </c>
      <c r="BO78" s="11">
        <f t="shared" si="90"/>
        <v>-3388.8765088207992</v>
      </c>
      <c r="BQ78" s="44">
        <f t="shared" si="91"/>
        <v>0.0695</v>
      </c>
      <c r="BR78" s="11">
        <f>BR$5+SUM(BS$5:BS77)+SUM(R$5:R77)-SUM(S$5:S77)+SUM(BV$5:BV77)</f>
        <v>401044.1249021493</v>
      </c>
      <c r="BS78" s="10">
        <f t="shared" si="101"/>
        <v>-345.43503026373264</v>
      </c>
      <c r="BT78" s="10">
        <f t="shared" si="102"/>
        <v>-2322.713890058282</v>
      </c>
      <c r="BU78" s="10">
        <f>IF(U78&lt;0,PMT(BQ78/12,Podsumowanie!E$8-SUM(AB$5:AB78)+1,BR78),0)</f>
        <v>-2668.1489203220144</v>
      </c>
      <c r="BV78" s="10">
        <f t="shared" si="96"/>
        <v>714.4415612978275</v>
      </c>
      <c r="BX78" s="11">
        <f>BX$5+SUM(BZ$5:BZ77)+SUM(R$5:R77)-SUM(S$5:S77)+SUM(CB$5,CB77)</f>
        <v>394696.3295647074</v>
      </c>
      <c r="BY78" s="10">
        <f t="shared" si="92"/>
        <v>-2285.9495753955975</v>
      </c>
      <c r="BZ78" s="10">
        <f t="shared" si="93"/>
        <v>-1118.1199137810409</v>
      </c>
      <c r="CA78" s="10">
        <f t="shared" si="103"/>
        <v>-3404.0694891766384</v>
      </c>
      <c r="CB78" s="10">
        <f t="shared" si="104"/>
        <v>1450.3621301524515</v>
      </c>
      <c r="CD78" s="10">
        <f>CD$5+SUM(CE$5:CE77)+SUM(R$5:R77)-SUM(S$5:S77)-SUM(CF$5:CF77)</f>
        <v>400978.06581511575</v>
      </c>
      <c r="CE78" s="10">
        <f t="shared" si="97"/>
        <v>2285.9495753955975</v>
      </c>
      <c r="CF78" s="10">
        <f t="shared" si="98"/>
        <v>1953.7073590241869</v>
      </c>
      <c r="CG78" s="10">
        <f t="shared" si="99"/>
        <v>-332.2422163714107</v>
      </c>
      <c r="CI78" s="44">
        <v>0.7308</v>
      </c>
      <c r="CJ78" s="10">
        <f t="shared" si="100"/>
        <v>-1427.77</v>
      </c>
      <c r="CK78" s="4">
        <f t="shared" si="105"/>
        <v>0</v>
      </c>
      <c r="CM78" s="10">
        <f t="shared" si="106"/>
        <v>-13936.788207275804</v>
      </c>
      <c r="CN78" s="4">
        <f t="shared" si="107"/>
        <v>-66.66430359146926</v>
      </c>
    </row>
    <row r="79" spans="1:92" ht="15.75">
      <c r="A79" s="36"/>
      <c r="B79" s="37">
        <v>39508</v>
      </c>
      <c r="C79" s="77">
        <f t="shared" si="85"/>
        <v>2.251</v>
      </c>
      <c r="D79" s="78">
        <f>C79*(1+Podsumowanie!E$11)</f>
        <v>2.31853</v>
      </c>
      <c r="E79" s="34">
        <f t="shared" si="53"/>
        <v>-864.7498952620924</v>
      </c>
      <c r="F79" s="7">
        <f t="shared" si="82"/>
        <v>-2004.9485746620192</v>
      </c>
      <c r="G79" s="7">
        <f t="shared" si="55"/>
        <v>-1907.2802624915373</v>
      </c>
      <c r="H79" s="7">
        <f t="shared" si="83"/>
        <v>97.66831217048184</v>
      </c>
      <c r="I79" s="32"/>
      <c r="J79" s="4" t="str">
        <f t="shared" si="108"/>
        <v xml:space="preserve"> </v>
      </c>
      <c r="K79" s="4">
        <f>IF(B79&lt;Podsumowanie!E$7,0,K78+1)</f>
        <v>9</v>
      </c>
      <c r="L79" s="100">
        <f t="shared" si="86"/>
        <v>0.0279</v>
      </c>
      <c r="M79" s="38">
        <f>L79+Podsumowanie!E$6</f>
        <v>0.039900000000000005</v>
      </c>
      <c r="N79" s="101">
        <f>MAX(Podsumowanie!E$4+SUM(AA$5:AA78)-SUM(X$5:X79)+SUM(W$5:W79),0)</f>
        <v>179499.815794927</v>
      </c>
      <c r="O79" s="102">
        <f>MAX(Podsumowanie!E$2+SUM(V$5:V78)-SUM(S$5:S79)+SUM(R$5:R79),0)</f>
        <v>395902.2807198699</v>
      </c>
      <c r="P79" s="39">
        <f t="shared" si="58"/>
        <v>360</v>
      </c>
      <c r="Q79" s="40" t="str">
        <f>IF(AND(K79&gt;0,K79&lt;=Podsumowanie!E$9),"tak","nie")</f>
        <v>nie</v>
      </c>
      <c r="R79" s="41"/>
      <c r="S79" s="42"/>
      <c r="T79" s="88">
        <f t="shared" si="59"/>
        <v>-1316.3750833935676</v>
      </c>
      <c r="U79" s="89">
        <f>IF(Q79="tak",T79,IF(P79-SUM(AB$5:AB79)+1&gt;0,IF(Podsumowanie!E$7&lt;B79,IF(SUM(AB$5:AB79)-Podsumowanie!E$9+1&gt;0,PMT(M79/12,P79+1-SUM(AB$5:AB79),O79),T79),0),0))</f>
        <v>-1907.2802624915373</v>
      </c>
      <c r="V79" s="89">
        <f t="shared" si="84"/>
        <v>-590.9051790979697</v>
      </c>
      <c r="W79" s="90" t="str">
        <f>IF(R79&gt;0,R79/(C79*(1-Podsumowanie!E$11))," ")</f>
        <v xml:space="preserve"> </v>
      </c>
      <c r="X79" s="90">
        <f t="shared" si="94"/>
        <v>0</v>
      </c>
      <c r="Y79" s="91">
        <f t="shared" si="3"/>
        <v>-596.8368875181324</v>
      </c>
      <c r="Z79" s="90">
        <f>IF(P79-SUM(AB$5:AB79)+1&gt;0,IF(Podsumowanie!E$7&lt;B79,IF(SUM(AB$5:AB79)-Podsumowanie!E$9+1&gt;0,PMT(M79/12,P79+1-SUM(AB$5:AB79),N79),Y79),0),0)</f>
        <v>-864.7498952620924</v>
      </c>
      <c r="AA79" s="90">
        <f t="shared" si="80"/>
        <v>-267.91300774396007</v>
      </c>
      <c r="AB79" s="8">
        <f>IF(AND(Podsumowanie!E$7&lt;B79,SUM(AB$5:AB78)&lt;P78),1," ")</f>
        <v>1</v>
      </c>
      <c r="AD79" s="51">
        <f>IF(OR(B79&lt;Podsumowanie!E$12,Podsumowanie!E$12=""),-F79+S79,0)</f>
        <v>2004.9485746620192</v>
      </c>
      <c r="AE79" s="51">
        <f t="shared" si="95"/>
        <v>0</v>
      </c>
      <c r="AG79" s="10">
        <f>Podsumowanie!E$4-SUM(AI$5:AI78)+SUM(W$42:W79)-SUM(X$42:X79)</f>
        <v>177821.5081355522</v>
      </c>
      <c r="AH79" s="10">
        <f t="shared" si="62"/>
        <v>591.26</v>
      </c>
      <c r="AI79" s="10">
        <f t="shared" si="63"/>
        <v>505.17</v>
      </c>
      <c r="AJ79" s="10">
        <f t="shared" si="64"/>
        <v>1096.43</v>
      </c>
      <c r="AK79" s="10">
        <f t="shared" si="109"/>
        <v>2542.11</v>
      </c>
      <c r="AL79" s="10">
        <f>Podsumowanie!E$2-SUM(AN$5:AN78)+SUM(R$42:R79)-SUM(S$42:S79)</f>
        <v>392200.53</v>
      </c>
      <c r="AM79" s="10">
        <f t="shared" si="66"/>
        <v>1304.07</v>
      </c>
      <c r="AN79" s="10">
        <f t="shared" si="67"/>
        <v>1114.21</v>
      </c>
      <c r="AO79" s="10">
        <f t="shared" si="68"/>
        <v>2418.2799999999997</v>
      </c>
      <c r="AP79" s="10">
        <f t="shared" si="69"/>
        <v>123.83000000000038</v>
      </c>
      <c r="AR79" s="43">
        <f t="shared" si="110"/>
        <v>39508</v>
      </c>
      <c r="AS79" s="11">
        <f>AS$5+SUM(AV$5:AV78)-SUM(X$5:X79)+SUM(W$5:W79)</f>
        <v>174114.82132107922</v>
      </c>
      <c r="AT79" s="10">
        <f t="shared" si="71"/>
        <v>-578.9317808925884</v>
      </c>
      <c r="AU79" s="10">
        <f>IF(AB79=1,IF(Q79="tak",AT79,PMT(M79/12,P79+1-SUM(AB$5:AB79),AS79)),0)</f>
        <v>-838.8073984042297</v>
      </c>
      <c r="AV79" s="10">
        <f t="shared" si="72"/>
        <v>-259.8756175116413</v>
      </c>
      <c r="AW79" s="10">
        <f t="shared" si="73"/>
        <v>-1888.155453807921</v>
      </c>
      <c r="AY79" s="11">
        <f>AY$5+SUM(BA$5:BA78)+SUM(W$5:W78)-SUM(X$5:X78)</f>
        <v>172486.82719148562</v>
      </c>
      <c r="AZ79" s="11">
        <f t="shared" si="74"/>
        <v>-578.9317808925884</v>
      </c>
      <c r="BA79" s="11">
        <f t="shared" si="75"/>
        <v>-490.02</v>
      </c>
      <c r="BB79" s="11">
        <f t="shared" si="76"/>
        <v>-1068.9517808925884</v>
      </c>
      <c r="BC79" s="11">
        <f t="shared" si="111"/>
        <v>-2406.2104587892163</v>
      </c>
      <c r="BE79" s="172">
        <f t="shared" si="87"/>
        <v>0.0603</v>
      </c>
      <c r="BF79" s="44">
        <f>BE79+Podsumowanie!$E$6</f>
        <v>0.0723</v>
      </c>
      <c r="BG79" s="11">
        <f>BG$5+SUM(BH$5:BH78)+SUM(R$5:R78)-SUM(S$5:S78)</f>
        <v>397455.3131869442</v>
      </c>
      <c r="BH79" s="10">
        <f t="shared" si="81"/>
        <v>-326.47887785017974</v>
      </c>
      <c r="BI79" s="10">
        <f t="shared" si="79"/>
        <v>-2394.668261951339</v>
      </c>
      <c r="BJ79" s="10">
        <f>IF(U79&lt;0,PMT(BF79/12,Podsumowanie!E$8-SUM(AB$5:AB79)+1,BG79),0)</f>
        <v>-2721.1471398015187</v>
      </c>
      <c r="BL79" s="11">
        <f>BL$5+SUM(BN$5:BN78)+SUM(R$5:R78)-SUM(S$5:S78)</f>
        <v>392200.5571030641</v>
      </c>
      <c r="BM79" s="11">
        <f t="shared" si="88"/>
        <v>-2363.0083565459613</v>
      </c>
      <c r="BN79" s="11">
        <f t="shared" si="89"/>
        <v>-1114.2061281337049</v>
      </c>
      <c r="BO79" s="11">
        <f t="shared" si="90"/>
        <v>-3477.2144846796664</v>
      </c>
      <c r="BQ79" s="44">
        <f t="shared" si="91"/>
        <v>0.07239999999999999</v>
      </c>
      <c r="BR79" s="11">
        <f>BR$5+SUM(BS$5:BS78)+SUM(R$5:R78)-SUM(S$5:S78)+SUM(BV$5:BV78)</f>
        <v>401413.1314331834</v>
      </c>
      <c r="BS79" s="10">
        <f t="shared" si="101"/>
        <v>-329.0909115617669</v>
      </c>
      <c r="BT79" s="10">
        <f t="shared" si="102"/>
        <v>-2421.8592263135392</v>
      </c>
      <c r="BU79" s="10">
        <f>IF(U79&lt;0,PMT(BQ79/12,Podsumowanie!E$8-SUM(AB$5:AB79)+1,BR79),0)</f>
        <v>-2750.950137875306</v>
      </c>
      <c r="BV79" s="10">
        <f t="shared" si="96"/>
        <v>746.001563213287</v>
      </c>
      <c r="BX79" s="11">
        <f>BX$5+SUM(BZ$5:BZ78)+SUM(R$5:R78)-SUM(S$5:S78)+SUM(CB$5,CB78)</f>
        <v>393629.4446299414</v>
      </c>
      <c r="BY79" s="10">
        <f t="shared" si="92"/>
        <v>-2374.897649267313</v>
      </c>
      <c r="BZ79" s="10">
        <f t="shared" si="93"/>
        <v>-1118.2654676986972</v>
      </c>
      <c r="CA79" s="10">
        <f t="shared" si="103"/>
        <v>-3493.1631169660104</v>
      </c>
      <c r="CB79" s="10">
        <f t="shared" si="104"/>
        <v>1488.2145423039913</v>
      </c>
      <c r="CD79" s="10">
        <f>CD$5+SUM(CE$5:CE78)+SUM(R$5:R78)-SUM(S$5:S78)-SUM(CF$5:CF78)</f>
        <v>401310.30803148716</v>
      </c>
      <c r="CE79" s="10">
        <f t="shared" si="97"/>
        <v>2374.897649267313</v>
      </c>
      <c r="CF79" s="10">
        <f t="shared" si="98"/>
        <v>2004.9485746620192</v>
      </c>
      <c r="CG79" s="10">
        <f t="shared" si="99"/>
        <v>-369.9490746052941</v>
      </c>
      <c r="CI79" s="44">
        <v>0.7239</v>
      </c>
      <c r="CJ79" s="10">
        <f t="shared" si="100"/>
        <v>-1451.38</v>
      </c>
      <c r="CK79" s="4">
        <f t="shared" si="105"/>
        <v>0</v>
      </c>
      <c r="CM79" s="10">
        <f t="shared" si="106"/>
        <v>-15941.736781937823</v>
      </c>
      <c r="CN79" s="4">
        <f t="shared" si="107"/>
        <v>-80.10722732923756</v>
      </c>
    </row>
    <row r="80" spans="1:92" ht="15.75">
      <c r="A80" s="36"/>
      <c r="B80" s="37">
        <v>39539</v>
      </c>
      <c r="C80" s="77">
        <f t="shared" si="85"/>
        <v>2.1574</v>
      </c>
      <c r="D80" s="78">
        <f>C80*(1+Podsumowanie!E$11)</f>
        <v>2.222122</v>
      </c>
      <c r="E80" s="34">
        <f t="shared" si="53"/>
        <v>-875.0509844317614</v>
      </c>
      <c r="F80" s="7">
        <f t="shared" si="82"/>
        <v>-1944.4700436274748</v>
      </c>
      <c r="G80" s="7">
        <f t="shared" si="55"/>
        <v>-1930.0002005489107</v>
      </c>
      <c r="H80" s="7">
        <f t="shared" si="83"/>
        <v>14.469843078564054</v>
      </c>
      <c r="I80" s="32"/>
      <c r="J80" s="4" t="str">
        <f t="shared" si="108"/>
        <v xml:space="preserve"> </v>
      </c>
      <c r="K80" s="4">
        <f>IF(B80&lt;Podsumowanie!E$7,0,K79+1)</f>
        <v>10</v>
      </c>
      <c r="L80" s="100">
        <f t="shared" si="86"/>
        <v>0.0289</v>
      </c>
      <c r="M80" s="38">
        <f>L80+Podsumowanie!E$6</f>
        <v>0.0409</v>
      </c>
      <c r="N80" s="101">
        <f>MAX(Podsumowanie!E$4+SUM(AA$5:AA79)-SUM(X$5:X80)+SUM(W$5:W80),0)</f>
        <v>179231.90278718306</v>
      </c>
      <c r="O80" s="102">
        <f>MAX(Podsumowanie!E$2+SUM(V$5:V79)-SUM(S$5:S80)+SUM(R$5:R80),0)</f>
        <v>395311.3755407719</v>
      </c>
      <c r="P80" s="39">
        <f t="shared" si="58"/>
        <v>360</v>
      </c>
      <c r="Q80" s="40" t="str">
        <f>IF(AND(K80&gt;0,K80&lt;=Podsumowanie!E$9),"tak","nie")</f>
        <v>nie</v>
      </c>
      <c r="R80" s="41"/>
      <c r="S80" s="42"/>
      <c r="T80" s="88">
        <f t="shared" si="59"/>
        <v>-1347.3529383014643</v>
      </c>
      <c r="U80" s="89">
        <f>IF(Q80="tak",T80,IF(P80-SUM(AB$5:AB80)+1&gt;0,IF(Podsumowanie!E$7&lt;B80,IF(SUM(AB$5:AB80)-Podsumowanie!E$9+1&gt;0,PMT(M80/12,P80+1-SUM(AB$5:AB80),O80),T80),0),0))</f>
        <v>-1930.0002005489107</v>
      </c>
      <c r="V80" s="89">
        <f t="shared" si="84"/>
        <v>-582.6472622474464</v>
      </c>
      <c r="W80" s="90" t="str">
        <f>IF(R80&gt;0,R80/(C80*(1-Podsumowanie!E$11))," ")</f>
        <v xml:space="preserve"> </v>
      </c>
      <c r="X80" s="90">
        <f t="shared" si="94"/>
        <v>0</v>
      </c>
      <c r="Y80" s="91">
        <f t="shared" si="3"/>
        <v>-610.8820686663156</v>
      </c>
      <c r="Z80" s="90">
        <f>IF(P80-SUM(AB$5:AB80)+1&gt;0,IF(Podsumowanie!E$7&lt;B80,IF(SUM(AB$5:AB80)-Podsumowanie!E$9+1&gt;0,PMT(M80/12,P80+1-SUM(AB$5:AB80),N80),Y80),0),0)</f>
        <v>-875.0509844317614</v>
      </c>
      <c r="AA80" s="90">
        <f t="shared" si="80"/>
        <v>-264.16891576544583</v>
      </c>
      <c r="AB80" s="8">
        <f>IF(AND(Podsumowanie!E$7&lt;B80,SUM(AB$5:AB79)&lt;P79),1," ")</f>
        <v>1</v>
      </c>
      <c r="AD80" s="51">
        <f>IF(OR(B80&lt;Podsumowanie!E$12,Podsumowanie!E$12=""),-F80+S80,0)</f>
        <v>1944.4700436274748</v>
      </c>
      <c r="AE80" s="51">
        <f t="shared" si="95"/>
        <v>0</v>
      </c>
      <c r="AG80" s="10">
        <f>Podsumowanie!E$4-SUM(AI$5:AI79)+SUM(W$42:W80)-SUM(X$42:X80)</f>
        <v>177316.3381355522</v>
      </c>
      <c r="AH80" s="10">
        <f t="shared" si="62"/>
        <v>604.35</v>
      </c>
      <c r="AI80" s="10">
        <f t="shared" si="63"/>
        <v>505.17</v>
      </c>
      <c r="AJ80" s="10">
        <f t="shared" si="64"/>
        <v>1109.52</v>
      </c>
      <c r="AK80" s="10">
        <f t="shared" si="109"/>
        <v>2465.49</v>
      </c>
      <c r="AL80" s="10">
        <f>Podsumowanie!E$2-SUM(AN$5:AN79)+SUM(R$42:R80)-SUM(S$42:S80)</f>
        <v>391086.32</v>
      </c>
      <c r="AM80" s="10">
        <f t="shared" si="66"/>
        <v>1332.95</v>
      </c>
      <c r="AN80" s="10">
        <f t="shared" si="67"/>
        <v>1114.21</v>
      </c>
      <c r="AO80" s="10">
        <f t="shared" si="68"/>
        <v>2447.16</v>
      </c>
      <c r="AP80" s="10">
        <f t="shared" si="69"/>
        <v>18.329999999999927</v>
      </c>
      <c r="AR80" s="43">
        <f t="shared" si="110"/>
        <v>39539</v>
      </c>
      <c r="AS80" s="11">
        <f>AS$5+SUM(AV$5:AV79)-SUM(X$5:X80)+SUM(W$5:W80)</f>
        <v>173854.94570356756</v>
      </c>
      <c r="AT80" s="10">
        <f t="shared" si="71"/>
        <v>-592.555606606326</v>
      </c>
      <c r="AU80" s="10">
        <f>IF(AB80=1,IF(Q80="tak",AT80,PMT(M80/12,P80+1-SUM(AB$5:AB80),AS80)),0)</f>
        <v>-848.7994548988086</v>
      </c>
      <c r="AV80" s="10">
        <f t="shared" si="72"/>
        <v>-256.24384829248254</v>
      </c>
      <c r="AW80" s="10">
        <f t="shared" si="73"/>
        <v>-1831.1999439986896</v>
      </c>
      <c r="AY80" s="11">
        <f>AY$5+SUM(BA$5:BA79)+SUM(W$5:W79)-SUM(X$5:X79)</f>
        <v>171996.80719148563</v>
      </c>
      <c r="AZ80" s="11">
        <f t="shared" si="74"/>
        <v>-592.555606606326</v>
      </c>
      <c r="BA80" s="11">
        <f t="shared" si="75"/>
        <v>-490.02</v>
      </c>
      <c r="BB80" s="11">
        <f t="shared" si="76"/>
        <v>-1082.575606606326</v>
      </c>
      <c r="BC80" s="11">
        <f t="shared" si="111"/>
        <v>-2335.5486136924874</v>
      </c>
      <c r="BE80" s="172">
        <f t="shared" si="87"/>
        <v>0.0629</v>
      </c>
      <c r="BF80" s="44">
        <f>BE80+Podsumowanie!$E$6</f>
        <v>0.0749</v>
      </c>
      <c r="BG80" s="11">
        <f>BG$5+SUM(BH$5:BH79)+SUM(R$5:R79)-SUM(S$5:S79)</f>
        <v>397128.834309094</v>
      </c>
      <c r="BH80" s="10">
        <f t="shared" si="81"/>
        <v>-312.2890975360351</v>
      </c>
      <c r="BI80" s="10">
        <f t="shared" si="79"/>
        <v>-2478.7458074792617</v>
      </c>
      <c r="BJ80" s="10">
        <f>IF(U80&lt;0,PMT(BF80/12,Podsumowanie!E$8-SUM(AB$5:AB80)+1,BG80),0)</f>
        <v>-2791.0349050152968</v>
      </c>
      <c r="BL80" s="11">
        <f>BL$5+SUM(BN$5:BN79)+SUM(R$5:R79)-SUM(S$5:S79)</f>
        <v>391086.35097493033</v>
      </c>
      <c r="BM80" s="11">
        <f t="shared" si="88"/>
        <v>-2441.0306406685236</v>
      </c>
      <c r="BN80" s="11">
        <f t="shared" si="89"/>
        <v>-1114.2061281337046</v>
      </c>
      <c r="BO80" s="11">
        <f t="shared" si="90"/>
        <v>-3555.236768802228</v>
      </c>
      <c r="BQ80" s="44">
        <f t="shared" si="91"/>
        <v>0.075</v>
      </c>
      <c r="BR80" s="11">
        <f>BR$5+SUM(BS$5:BS79)+SUM(R$5:R79)-SUM(S$5:S79)+SUM(BV$5:BV79)</f>
        <v>401830.04208483495</v>
      </c>
      <c r="BS80" s="10">
        <f t="shared" si="101"/>
        <v>-315.37116790355503</v>
      </c>
      <c r="BT80" s="10">
        <f t="shared" si="102"/>
        <v>-2511.4377630302183</v>
      </c>
      <c r="BU80" s="10">
        <f>IF(U80&lt;0,PMT(BQ80/12,Podsumowanie!E$8-SUM(AB$5:AB80)+1,BR80),0)</f>
        <v>-2826.8089309337734</v>
      </c>
      <c r="BV80" s="10">
        <f t="shared" si="96"/>
        <v>882.3388873062986</v>
      </c>
      <c r="BX80" s="11">
        <f>BX$5+SUM(BZ$5:BZ79)+SUM(R$5:R79)-SUM(S$5:S79)+SUM(CB$5,CB79)</f>
        <v>392549.03157439426</v>
      </c>
      <c r="BY80" s="10">
        <f t="shared" si="92"/>
        <v>-2453.431447339964</v>
      </c>
      <c r="BZ80" s="10">
        <f t="shared" si="93"/>
        <v>-1118.3733093287585</v>
      </c>
      <c r="CA80" s="10">
        <f t="shared" si="103"/>
        <v>-3571.804756668723</v>
      </c>
      <c r="CB80" s="10">
        <f t="shared" si="104"/>
        <v>1627.334713041248</v>
      </c>
      <c r="CD80" s="10">
        <f>CD$5+SUM(CE$5:CE79)+SUM(R$5:R79)-SUM(S$5:S79)-SUM(CF$5:CF79)</f>
        <v>401680.25710609247</v>
      </c>
      <c r="CE80" s="10">
        <f t="shared" si="97"/>
        <v>2453.431447339964</v>
      </c>
      <c r="CF80" s="10">
        <f t="shared" si="98"/>
        <v>1944.4700436274748</v>
      </c>
      <c r="CG80" s="10">
        <f t="shared" si="99"/>
        <v>-508.9614037124893</v>
      </c>
      <c r="CI80" s="44">
        <v>0.717</v>
      </c>
      <c r="CJ80" s="10">
        <f t="shared" si="100"/>
        <v>-1394.19</v>
      </c>
      <c r="CK80" s="4">
        <f t="shared" si="105"/>
        <v>0</v>
      </c>
      <c r="CM80" s="10">
        <f t="shared" si="106"/>
        <v>-17886.2068255653</v>
      </c>
      <c r="CN80" s="4">
        <f t="shared" si="107"/>
        <v>-93.75353411067145</v>
      </c>
    </row>
    <row r="81" spans="1:92" ht="15.75">
      <c r="A81" s="36"/>
      <c r="B81" s="37">
        <v>39569</v>
      </c>
      <c r="C81" s="77">
        <f t="shared" si="85"/>
        <v>2.0984</v>
      </c>
      <c r="D81" s="78">
        <f>C81*(1+Podsumowanie!E$11)</f>
        <v>2.161352</v>
      </c>
      <c r="E81" s="34">
        <f t="shared" si="53"/>
        <v>-875.0509844317614</v>
      </c>
      <c r="F81" s="7">
        <f t="shared" si="82"/>
        <v>-1891.2931953035563</v>
      </c>
      <c r="G81" s="7">
        <f t="shared" si="55"/>
        <v>-1930.0002005489112</v>
      </c>
      <c r="H81" s="7">
        <f t="shared" si="83"/>
        <v>-38.70700524535482</v>
      </c>
      <c r="I81" s="32"/>
      <c r="J81" s="4" t="str">
        <f t="shared" si="108"/>
        <v>Ze względu na spadek kursu CHF, rata jest korzystniejsza niż bez klauzuli indeksacyjnej</v>
      </c>
      <c r="K81" s="4">
        <f>IF(B81&lt;Podsumowanie!E$7,0,K80+1)</f>
        <v>11</v>
      </c>
      <c r="L81" s="100">
        <f t="shared" si="86"/>
        <v>0.0289</v>
      </c>
      <c r="M81" s="38">
        <f>L81+Podsumowanie!E$6</f>
        <v>0.0409</v>
      </c>
      <c r="N81" s="101">
        <f>MAX(Podsumowanie!E$4+SUM(AA$5:AA80)-SUM(X$5:X81)+SUM(W$5:W81),0)</f>
        <v>178967.73387141761</v>
      </c>
      <c r="O81" s="102">
        <f>MAX(Podsumowanie!E$2+SUM(V$5:V80)-SUM(S$5:S81)+SUM(R$5:R81),0)</f>
        <v>394728.7282785245</v>
      </c>
      <c r="P81" s="39">
        <f t="shared" si="58"/>
        <v>360</v>
      </c>
      <c r="Q81" s="40" t="str">
        <f>IF(AND(K81&gt;0,K81&lt;=Podsumowanie!E$9),"tak","nie")</f>
        <v>nie</v>
      </c>
      <c r="R81" s="41"/>
      <c r="S81" s="42"/>
      <c r="T81" s="88">
        <f t="shared" si="59"/>
        <v>-1345.3670822159709</v>
      </c>
      <c r="U81" s="89">
        <f>IF(Q81="tak",T81,IF(P81-SUM(AB$5:AB81)+1&gt;0,IF(Podsumowanie!E$7&lt;B81,IF(SUM(AB$5:AB81)-Podsumowanie!E$9+1&gt;0,PMT(M81/12,P81+1-SUM(AB$5:AB81),O81),T81),0),0))</f>
        <v>-1930.0002005489112</v>
      </c>
      <c r="V81" s="89">
        <f t="shared" si="84"/>
        <v>-584.6331183329403</v>
      </c>
      <c r="W81" s="90" t="str">
        <f>IF(R81&gt;0,R81/(C81*(1-Podsumowanie!E$11))," ")</f>
        <v xml:space="preserve"> </v>
      </c>
      <c r="X81" s="90">
        <f t="shared" si="94"/>
        <v>0</v>
      </c>
      <c r="Y81" s="91">
        <f t="shared" si="3"/>
        <v>-609.9816929450817</v>
      </c>
      <c r="Z81" s="90">
        <f>IF(P81-SUM(AB$5:AB81)+1&gt;0,IF(Podsumowanie!E$7&lt;B81,IF(SUM(AB$5:AB81)-Podsumowanie!E$9+1&gt;0,PMT(M81/12,P81+1-SUM(AB$5:AB81),N81),Y81),0),0)</f>
        <v>-875.0509844317614</v>
      </c>
      <c r="AA81" s="90">
        <f t="shared" si="80"/>
        <v>-265.06929148667973</v>
      </c>
      <c r="AB81" s="8">
        <f>IF(AND(Podsumowanie!E$7&lt;B81,SUM(AB$5:AB80)&lt;P80),1," ")</f>
        <v>1</v>
      </c>
      <c r="AD81" s="51">
        <f>IF(OR(B81&lt;Podsumowanie!E$12,Podsumowanie!E$12=""),-F81+S81,0)</f>
        <v>1891.2931953035563</v>
      </c>
      <c r="AE81" s="51">
        <f t="shared" si="95"/>
        <v>0</v>
      </c>
      <c r="AG81" s="10">
        <f>Podsumowanie!E$4-SUM(AI$5:AI80)+SUM(W$42:W81)-SUM(X$42:X81)</f>
        <v>176811.1681355522</v>
      </c>
      <c r="AH81" s="10">
        <f t="shared" si="62"/>
        <v>602.63</v>
      </c>
      <c r="AI81" s="10">
        <f t="shared" si="63"/>
        <v>505.17</v>
      </c>
      <c r="AJ81" s="10">
        <f t="shared" si="64"/>
        <v>1107.8</v>
      </c>
      <c r="AK81" s="10">
        <f t="shared" si="109"/>
        <v>2394.35</v>
      </c>
      <c r="AL81" s="10">
        <f>Podsumowanie!E$2-SUM(AN$5:AN80)+SUM(R$42:R81)-SUM(S$42:S81)</f>
        <v>389972.11</v>
      </c>
      <c r="AM81" s="10">
        <f t="shared" si="66"/>
        <v>1329.15</v>
      </c>
      <c r="AN81" s="10">
        <f t="shared" si="67"/>
        <v>1114.21</v>
      </c>
      <c r="AO81" s="10">
        <f t="shared" si="68"/>
        <v>2443.36</v>
      </c>
      <c r="AP81" s="10">
        <f t="shared" si="69"/>
        <v>-49.01000000000022</v>
      </c>
      <c r="AR81" s="43">
        <f t="shared" si="110"/>
        <v>39569</v>
      </c>
      <c r="AS81" s="11">
        <f>AS$5+SUM(AV$5:AV80)-SUM(X$5:X81)+SUM(W$5:W81)</f>
        <v>173598.70185527508</v>
      </c>
      <c r="AT81" s="10">
        <f t="shared" si="71"/>
        <v>-591.6822421567292</v>
      </c>
      <c r="AU81" s="10">
        <f>IF(AB81=1,IF(Q81="tak",AT81,PMT(M81/12,P81+1-SUM(AB$5:AB81),AS81)),0)</f>
        <v>-848.7994548988086</v>
      </c>
      <c r="AV81" s="10">
        <f t="shared" si="72"/>
        <v>-257.11721274207935</v>
      </c>
      <c r="AW81" s="10">
        <f t="shared" si="73"/>
        <v>-1781.1207761596597</v>
      </c>
      <c r="AY81" s="11">
        <f>AY$5+SUM(BA$5:BA80)+SUM(W$5:W80)-SUM(X$5:X80)</f>
        <v>171506.78719148564</v>
      </c>
      <c r="AZ81" s="11">
        <f t="shared" si="74"/>
        <v>-591.6822421567292</v>
      </c>
      <c r="BA81" s="11">
        <f t="shared" si="75"/>
        <v>-490.02</v>
      </c>
      <c r="BB81" s="11">
        <f t="shared" si="76"/>
        <v>-1081.7022421567292</v>
      </c>
      <c r="BC81" s="11">
        <f t="shared" si="111"/>
        <v>-2269.8439849416804</v>
      </c>
      <c r="BE81" s="172">
        <f t="shared" si="87"/>
        <v>0.0641</v>
      </c>
      <c r="BF81" s="44">
        <f>BE81+Podsumowanie!$E$6</f>
        <v>0.0761</v>
      </c>
      <c r="BG81" s="11">
        <f>BG$5+SUM(BH$5:BH80)+SUM(R$5:R80)-SUM(S$5:S80)</f>
        <v>396816.54521155794</v>
      </c>
      <c r="BH81" s="10">
        <f t="shared" si="81"/>
        <v>-306.9932555421401</v>
      </c>
      <c r="BI81" s="10">
        <f t="shared" si="79"/>
        <v>-2516.4782575499635</v>
      </c>
      <c r="BJ81" s="10">
        <f>IF(U81&lt;0,PMT(BF81/12,Podsumowanie!E$8-SUM(AB$5:AB81)+1,BG81),0)</f>
        <v>-2823.4715130921036</v>
      </c>
      <c r="BL81" s="11">
        <f>BL$5+SUM(BN$5:BN80)+SUM(R$5:R80)-SUM(S$5:S80)</f>
        <v>389972.14484679664</v>
      </c>
      <c r="BM81" s="11">
        <f t="shared" si="88"/>
        <v>-2473.073351903435</v>
      </c>
      <c r="BN81" s="11">
        <f t="shared" si="89"/>
        <v>-1114.2061281337046</v>
      </c>
      <c r="BO81" s="11">
        <f t="shared" si="90"/>
        <v>-3587.27948003714</v>
      </c>
      <c r="BQ81" s="44">
        <f t="shared" si="91"/>
        <v>0.0762</v>
      </c>
      <c r="BR81" s="11">
        <f>BR$5+SUM(BS$5:BS80)+SUM(R$5:R80)-SUM(S$5:S80)+SUM(BV$5:BV80)</f>
        <v>402397.00980423763</v>
      </c>
      <c r="BS81" s="10">
        <f t="shared" si="101"/>
        <v>-310.704883783837</v>
      </c>
      <c r="BT81" s="10">
        <f t="shared" si="102"/>
        <v>-2555.221012256909</v>
      </c>
      <c r="BU81" s="10">
        <f>IF(U81&lt;0,PMT(BQ81/12,Podsumowanie!E$8-SUM(AB$5:AB81)+1,BR81),0)</f>
        <v>-2865.925896040746</v>
      </c>
      <c r="BV81" s="10">
        <f t="shared" si="96"/>
        <v>974.6327007371897</v>
      </c>
      <c r="BX81" s="11">
        <f>BX$5+SUM(BZ$5:BZ80)+SUM(R$5:R80)-SUM(S$5:S80)+SUM(CB$5,CB80)</f>
        <v>391569.7784358027</v>
      </c>
      <c r="BY81" s="10">
        <f t="shared" si="92"/>
        <v>-2486.4680930673476</v>
      </c>
      <c r="BZ81" s="10">
        <f t="shared" si="93"/>
        <v>-1118.770795530865</v>
      </c>
      <c r="CA81" s="10">
        <f t="shared" si="103"/>
        <v>-3605.2388885982127</v>
      </c>
      <c r="CB81" s="10">
        <f t="shared" si="104"/>
        <v>1713.9456932946564</v>
      </c>
      <c r="CD81" s="10">
        <f>CD$5+SUM(CE$5:CE80)+SUM(R$5:R80)-SUM(S$5:S80)-SUM(CF$5:CF80)</f>
        <v>402189.2185098049</v>
      </c>
      <c r="CE81" s="10">
        <f t="shared" si="97"/>
        <v>2486.4680930673476</v>
      </c>
      <c r="CF81" s="10">
        <f t="shared" si="98"/>
        <v>1891.2931953035563</v>
      </c>
      <c r="CG81" s="10">
        <f t="shared" si="99"/>
        <v>-595.1748977637913</v>
      </c>
      <c r="CI81" s="44">
        <v>0.7102</v>
      </c>
      <c r="CJ81" s="10">
        <f t="shared" si="100"/>
        <v>-1343.2</v>
      </c>
      <c r="CK81" s="4">
        <f t="shared" si="105"/>
        <v>0</v>
      </c>
      <c r="CM81" s="10">
        <f t="shared" si="106"/>
        <v>-19777.500020868854</v>
      </c>
      <c r="CN81" s="4">
        <f t="shared" si="107"/>
        <v>-105.64481261147448</v>
      </c>
    </row>
    <row r="82" spans="1:92" ht="15.75">
      <c r="A82" s="36"/>
      <c r="B82" s="37">
        <v>39600</v>
      </c>
      <c r="C82" s="77">
        <f t="shared" si="85"/>
        <v>2.0909</v>
      </c>
      <c r="D82" s="78">
        <f>C82*(1+Podsumowanie!E$11)</f>
        <v>2.153627</v>
      </c>
      <c r="E82" s="34">
        <f t="shared" si="53"/>
        <v>-863.7725567755746</v>
      </c>
      <c r="F82" s="7">
        <f t="shared" si="82"/>
        <v>-1860.2439001309106</v>
      </c>
      <c r="G82" s="7">
        <f t="shared" si="55"/>
        <v>-1905.124658408412</v>
      </c>
      <c r="H82" s="7">
        <f t="shared" si="83"/>
        <v>-44.8807582775014</v>
      </c>
      <c r="I82" s="32"/>
      <c r="J82" s="4" t="str">
        <f t="shared" si="108"/>
        <v>Ze względu na spadek kursu CHF, rata jest korzystniejsza niż bez klauzuli indeksacyjnej</v>
      </c>
      <c r="K82" s="4">
        <f>IF(B82&lt;Podsumowanie!E$7,0,K81+1)</f>
        <v>12</v>
      </c>
      <c r="L82" s="100">
        <f t="shared" si="86"/>
        <v>0.0278</v>
      </c>
      <c r="M82" s="38">
        <f>L82+Podsumowanie!E$6</f>
        <v>0.0398</v>
      </c>
      <c r="N82" s="101">
        <f>MAX(Podsumowanie!E$4+SUM(AA$5:AA81)-SUM(X$5:X82)+SUM(W$5:W82),0)</f>
        <v>178702.66457993095</v>
      </c>
      <c r="O82" s="102">
        <f>MAX(Podsumowanie!E$2+SUM(V$5:V81)-SUM(S$5:S82)+SUM(R$5:R82),0)</f>
        <v>394144.09516019153</v>
      </c>
      <c r="P82" s="39">
        <f t="shared" si="58"/>
        <v>360</v>
      </c>
      <c r="Q82" s="40" t="str">
        <f>IF(AND(K82&gt;0,K82&lt;=Podsumowanie!E$9),"tak","nie")</f>
        <v>nie</v>
      </c>
      <c r="R82" s="41"/>
      <c r="S82" s="42"/>
      <c r="T82" s="88">
        <f t="shared" si="59"/>
        <v>-1307.244582281302</v>
      </c>
      <c r="U82" s="89">
        <f>IF(Q82="tak",T82,IF(P82-SUM(AB$5:AB82)+1&gt;0,IF(Podsumowanie!E$7&lt;B82,IF(SUM(AB$5:AB82)-Podsumowanie!E$9+1&gt;0,PMT(M82/12,P82+1-SUM(AB$5:AB82),O82),T82),0),0))</f>
        <v>-1905.124658408412</v>
      </c>
      <c r="V82" s="89">
        <f t="shared" si="84"/>
        <v>-597.88007612711</v>
      </c>
      <c r="W82" s="90" t="str">
        <f>IF(R82&gt;0,R82/(C82*(1-Podsumowanie!E$11))," ")</f>
        <v xml:space="preserve"> </v>
      </c>
      <c r="X82" s="90">
        <f t="shared" si="94"/>
        <v>0</v>
      </c>
      <c r="Y82" s="91">
        <f>IF(AB82=1,-N82*M82/12,0)</f>
        <v>-592.697170856771</v>
      </c>
      <c r="Z82" s="90">
        <f>IF(P82-SUM(AB$5:AB82)+1&gt;0,IF(Podsumowanie!E$7&lt;B82,IF(SUM(AB$5:AB82)-Podsumowanie!E$9+1&gt;0,PMT(M82/12,P82+1-SUM(AB$5:AB82),N82),Y82),0),0)</f>
        <v>-863.7725567755746</v>
      </c>
      <c r="AA82" s="90">
        <f t="shared" si="80"/>
        <v>-271.0753859188036</v>
      </c>
      <c r="AB82" s="8">
        <f>IF(AND(Podsumowanie!E$7&lt;B82,SUM(AB$5:AB81)&lt;P81),1," ")</f>
        <v>1</v>
      </c>
      <c r="AD82" s="51">
        <f>IF(OR(B82&lt;Podsumowanie!E$12,Podsumowanie!E$12=""),-F82+S82,0)</f>
        <v>1860.2439001309106</v>
      </c>
      <c r="AE82" s="51">
        <f t="shared" si="95"/>
        <v>0</v>
      </c>
      <c r="AG82" s="10">
        <f>Podsumowanie!E$4-SUM(AI$5:AI81)+SUM(W$42:W82)-SUM(X$42:X82)</f>
        <v>176305.9981355522</v>
      </c>
      <c r="AH82" s="10">
        <f t="shared" si="62"/>
        <v>584.75</v>
      </c>
      <c r="AI82" s="10">
        <f t="shared" si="63"/>
        <v>505.17</v>
      </c>
      <c r="AJ82" s="10">
        <f t="shared" si="64"/>
        <v>1089.92</v>
      </c>
      <c r="AK82" s="10">
        <f t="shared" si="109"/>
        <v>2347.28</v>
      </c>
      <c r="AL82" s="10">
        <f>Podsumowanie!E$2-SUM(AN$5:AN81)+SUM(R$42:R82)-SUM(S$42:S82)</f>
        <v>388857.9</v>
      </c>
      <c r="AM82" s="10">
        <f t="shared" si="66"/>
        <v>1289.71</v>
      </c>
      <c r="AN82" s="10">
        <f t="shared" si="67"/>
        <v>1114.21</v>
      </c>
      <c r="AO82" s="10">
        <f t="shared" si="68"/>
        <v>2403.92</v>
      </c>
      <c r="AP82" s="10">
        <f t="shared" si="69"/>
        <v>-56.63999999999987</v>
      </c>
      <c r="AR82" s="43">
        <f t="shared" si="110"/>
        <v>39600</v>
      </c>
      <c r="AS82" s="11">
        <f>AS$5+SUM(AV$5:AV81)-SUM(X$5:X82)+SUM(W$5:W82)</f>
        <v>173341.584642533</v>
      </c>
      <c r="AT82" s="10">
        <f t="shared" si="71"/>
        <v>-574.9162557310678</v>
      </c>
      <c r="AU82" s="10">
        <f>IF(AB82=1,IF(Q82="tak",AT82,PMT(M82/12,P82+1-SUM(AB$5:AB82),AS82)),0)</f>
        <v>-837.8593800723073</v>
      </c>
      <c r="AV82" s="10">
        <f t="shared" si="72"/>
        <v>-262.94312434123947</v>
      </c>
      <c r="AW82" s="10">
        <f t="shared" si="73"/>
        <v>-1751.8801777931874</v>
      </c>
      <c r="AY82" s="11">
        <f>AY$5+SUM(BA$5:BA81)+SUM(W$5:W81)-SUM(X$5:X81)</f>
        <v>171016.76719148562</v>
      </c>
      <c r="AZ82" s="11">
        <f t="shared" si="74"/>
        <v>-574.9162557310678</v>
      </c>
      <c r="BA82" s="11">
        <f t="shared" si="75"/>
        <v>-490.02</v>
      </c>
      <c r="BB82" s="11">
        <f t="shared" si="76"/>
        <v>-1064.9362557310678</v>
      </c>
      <c r="BC82" s="11">
        <f t="shared" si="111"/>
        <v>-2226.67521710809</v>
      </c>
      <c r="BE82" s="172">
        <f t="shared" si="87"/>
        <v>0.0658</v>
      </c>
      <c r="BF82" s="44">
        <f>BE82+Podsumowanie!$E$6</f>
        <v>0.0778</v>
      </c>
      <c r="BG82" s="11">
        <f>BG$5+SUM(BH$5:BH81)+SUM(R$5:R81)-SUM(S$5:S81)</f>
        <v>396509.5519560158</v>
      </c>
      <c r="BH82" s="10">
        <f t="shared" si="81"/>
        <v>-298.89255465544557</v>
      </c>
      <c r="BI82" s="10">
        <f t="shared" si="79"/>
        <v>-2570.7035951815024</v>
      </c>
      <c r="BJ82" s="10">
        <f>IF(U82&lt;0,PMT(BF82/12,Podsumowanie!E$8-SUM(AB$5:AB82)+1,BG82),0)</f>
        <v>-2869.596149836948</v>
      </c>
      <c r="BL82" s="11">
        <f>BL$5+SUM(BN$5:BN81)+SUM(R$5:R81)-SUM(S$5:S81)</f>
        <v>388857.93871866295</v>
      </c>
      <c r="BM82" s="11">
        <f t="shared" si="88"/>
        <v>-2521.095636025998</v>
      </c>
      <c r="BN82" s="11">
        <f t="shared" si="89"/>
        <v>-1114.2061281337046</v>
      </c>
      <c r="BO82" s="11">
        <f t="shared" si="90"/>
        <v>-3635.3017641597025</v>
      </c>
      <c r="BQ82" s="44">
        <f t="shared" si="91"/>
        <v>0.0779</v>
      </c>
      <c r="BR82" s="11">
        <f>BR$5+SUM(BS$5:BS81)+SUM(R$5:R81)-SUM(S$5:S81)+SUM(BV$5:BV81)</f>
        <v>403060.937621191</v>
      </c>
      <c r="BS82" s="10">
        <f t="shared" si="101"/>
        <v>-303.23923750240874</v>
      </c>
      <c r="BT82" s="10">
        <f t="shared" si="102"/>
        <v>-2616.537253390898</v>
      </c>
      <c r="BU82" s="10">
        <f>IF(U82&lt;0,PMT(BQ82/12,Podsumowanie!E$8-SUM(AB$5:AB82)+1,BR82),0)</f>
        <v>-2919.776490893307</v>
      </c>
      <c r="BV82" s="10">
        <f t="shared" si="96"/>
        <v>1059.5325907623962</v>
      </c>
      <c r="BX82" s="11">
        <f>BX$5+SUM(BZ$5:BZ81)+SUM(R$5:R81)-SUM(S$5:S81)+SUM(CB$5,CB81)</f>
        <v>390537.61862052523</v>
      </c>
      <c r="BY82" s="10">
        <f t="shared" si="92"/>
        <v>-2535.240040878243</v>
      </c>
      <c r="BZ82" s="10">
        <f t="shared" si="93"/>
        <v>-1119.0189645287255</v>
      </c>
      <c r="CA82" s="10">
        <f t="shared" si="103"/>
        <v>-3654.2590054069683</v>
      </c>
      <c r="CB82" s="10">
        <f t="shared" si="104"/>
        <v>1794.0151052760577</v>
      </c>
      <c r="CD82" s="10">
        <f>CD$5+SUM(CE$5:CE81)+SUM(R$5:R81)-SUM(S$5:S81)-SUM(CF$5:CF81)</f>
        <v>402784.39340756874</v>
      </c>
      <c r="CE82" s="10">
        <f t="shared" si="97"/>
        <v>2535.240040878243</v>
      </c>
      <c r="CF82" s="10">
        <f t="shared" si="98"/>
        <v>1860.2439001309106</v>
      </c>
      <c r="CG82" s="10">
        <f t="shared" si="99"/>
        <v>-674.9961407473322</v>
      </c>
      <c r="CI82" s="44">
        <v>0.6966</v>
      </c>
      <c r="CJ82" s="10">
        <f t="shared" si="100"/>
        <v>-1295.85</v>
      </c>
      <c r="CK82" s="4">
        <f t="shared" si="105"/>
        <v>0</v>
      </c>
      <c r="CM82" s="10">
        <f t="shared" si="106"/>
        <v>-21637.743920999765</v>
      </c>
      <c r="CN82" s="4">
        <f t="shared" si="107"/>
        <v>-118.64696250014872</v>
      </c>
    </row>
    <row r="83" spans="1:92" ht="15.75">
      <c r="A83" s="36"/>
      <c r="B83" s="37">
        <v>39630</v>
      </c>
      <c r="C83" s="77">
        <f t="shared" si="85"/>
        <v>2.0139</v>
      </c>
      <c r="D83" s="78">
        <f>C83*(1+Podsumowanie!E$11)</f>
        <v>2.074317</v>
      </c>
      <c r="E83" s="34">
        <f t="shared" si="53"/>
        <v>-863.7725567755743</v>
      </c>
      <c r="F83" s="7">
        <f t="shared" si="82"/>
        <v>-1791.7380986530393</v>
      </c>
      <c r="G83" s="7">
        <f t="shared" si="55"/>
        <v>-1905.1246584084117</v>
      </c>
      <c r="H83" s="7">
        <f t="shared" si="83"/>
        <v>-113.38655975537245</v>
      </c>
      <c r="I83" s="32"/>
      <c r="J83" s="4" t="str">
        <f t="shared" si="108"/>
        <v>Ze względu na spadek kursu CHF, rata jest korzystniejsza niż bez klauzuli indeksacyjnej</v>
      </c>
      <c r="K83" s="4">
        <f>IF(B83&lt;Podsumowanie!E$7,0,K82+1)</f>
        <v>13</v>
      </c>
      <c r="L83" s="100">
        <f t="shared" si="86"/>
        <v>0.0278</v>
      </c>
      <c r="M83" s="38">
        <f>L83+Podsumowanie!E$6</f>
        <v>0.0398</v>
      </c>
      <c r="N83" s="101">
        <f>MAX(Podsumowanie!E$4+SUM(AA$5:AA82)-SUM(X$5:X83)+SUM(W$5:W83),0)</f>
        <v>178431.58919401214</v>
      </c>
      <c r="O83" s="102">
        <f>MAX(Podsumowanie!E$2+SUM(V$5:V82)-SUM(S$5:S83)+SUM(R$5:R83),0)</f>
        <v>393546.2150840644</v>
      </c>
      <c r="P83" s="39">
        <f t="shared" si="58"/>
        <v>360</v>
      </c>
      <c r="Q83" s="40" t="str">
        <f>IF(AND(K83&gt;0,K83&lt;=Podsumowanie!E$9),"tak","nie")</f>
        <v>nie</v>
      </c>
      <c r="R83" s="41"/>
      <c r="S83" s="42"/>
      <c r="T83" s="88">
        <f t="shared" si="59"/>
        <v>-1305.261613362147</v>
      </c>
      <c r="U83" s="89">
        <f>IF(Q83="tak",T83,IF(P83-SUM(AB$5:AB83)+1&gt;0,IF(Podsumowanie!E$7&lt;B83,IF(SUM(AB$5:AB83)-Podsumowanie!E$9+1&gt;0,PMT(M83/12,P83+1-SUM(AB$5:AB83),O83),T83),0),0))</f>
        <v>-1905.1246584084117</v>
      </c>
      <c r="V83" s="89">
        <f t="shared" si="84"/>
        <v>-599.8630450462647</v>
      </c>
      <c r="W83" s="90" t="str">
        <f>IF(R83&gt;0,R83/(C83*(1-Podsumowanie!E$11))," ")</f>
        <v xml:space="preserve"> </v>
      </c>
      <c r="X83" s="90">
        <f t="shared" si="94"/>
        <v>0</v>
      </c>
      <c r="Y83" s="91">
        <f aca="true" t="shared" si="112" ref="Y83:Y146">IF(AB83=1,-N83*M83/12,0)</f>
        <v>-591.7981041601403</v>
      </c>
      <c r="Z83" s="90">
        <f>IF(P83-SUM(AB$5:AB83)+1&gt;0,IF(Podsumowanie!E$7&lt;B83,IF(SUM(AB$5:AB83)-Podsumowanie!E$9+1&gt;0,PMT(M83/12,P83+1-SUM(AB$5:AB83),N83),Y83),0),0)</f>
        <v>-863.7725567755743</v>
      </c>
      <c r="AA83" s="90">
        <f t="shared" si="80"/>
        <v>-271.9744526154341</v>
      </c>
      <c r="AB83" s="8">
        <f>IF(AND(Podsumowanie!E$7&lt;B83,SUM(AB$5:AB82)&lt;P82),1," ")</f>
        <v>1</v>
      </c>
      <c r="AD83" s="51">
        <f>IF(OR(B83&lt;Podsumowanie!E$12,Podsumowanie!E$12=""),-F83+S83,0)</f>
        <v>1791.7380986530393</v>
      </c>
      <c r="AE83" s="51">
        <f t="shared" si="95"/>
        <v>0</v>
      </c>
      <c r="AG83" s="10">
        <f>Podsumowanie!E$4-SUM(AI$5:AI82)+SUM(W$42:W83)-SUM(X$42:X83)</f>
        <v>175800.8281355522</v>
      </c>
      <c r="AH83" s="10">
        <f t="shared" si="62"/>
        <v>583.07</v>
      </c>
      <c r="AI83" s="10">
        <f t="shared" si="63"/>
        <v>505.17</v>
      </c>
      <c r="AJ83" s="10">
        <f t="shared" si="64"/>
        <v>1088.24</v>
      </c>
      <c r="AK83" s="10">
        <f t="shared" si="109"/>
        <v>2257.35</v>
      </c>
      <c r="AL83" s="10">
        <f>Podsumowanie!E$2-SUM(AN$5:AN82)+SUM(R$42:R83)-SUM(S$42:S83)</f>
        <v>387743.69</v>
      </c>
      <c r="AM83" s="10">
        <f t="shared" si="66"/>
        <v>1286.02</v>
      </c>
      <c r="AN83" s="10">
        <f t="shared" si="67"/>
        <v>1114.21</v>
      </c>
      <c r="AO83" s="10">
        <f t="shared" si="68"/>
        <v>2400.23</v>
      </c>
      <c r="AP83" s="10">
        <f t="shared" si="69"/>
        <v>-142.8800000000001</v>
      </c>
      <c r="AR83" s="43">
        <f t="shared" si="110"/>
        <v>39630</v>
      </c>
      <c r="AS83" s="11">
        <f>AS$5+SUM(AV$5:AV82)-SUM(X$5:X83)+SUM(W$5:W83)</f>
        <v>173078.64151819175</v>
      </c>
      <c r="AT83" s="10">
        <f t="shared" si="71"/>
        <v>-574.0441610353361</v>
      </c>
      <c r="AU83" s="10">
        <f>IF(AB83=1,IF(Q83="tak",AT83,PMT(M83/12,P83+1-SUM(AB$5:AB83),AS83)),0)</f>
        <v>-837.8593800723071</v>
      </c>
      <c r="AV83" s="10">
        <f t="shared" si="72"/>
        <v>-263.81521903697103</v>
      </c>
      <c r="AW83" s="10">
        <f t="shared" si="73"/>
        <v>-1687.3650055276194</v>
      </c>
      <c r="AY83" s="11">
        <f>AY$5+SUM(BA$5:BA82)+SUM(W$5:W82)-SUM(X$5:X82)</f>
        <v>170526.74719148563</v>
      </c>
      <c r="AZ83" s="11">
        <f t="shared" si="74"/>
        <v>-574.0441610353361</v>
      </c>
      <c r="BA83" s="11">
        <f t="shared" si="75"/>
        <v>-490.02</v>
      </c>
      <c r="BB83" s="11">
        <f t="shared" si="76"/>
        <v>-1064.064161035336</v>
      </c>
      <c r="BC83" s="11">
        <f t="shared" si="111"/>
        <v>-2142.918813909063</v>
      </c>
      <c r="BE83" s="172">
        <f t="shared" si="87"/>
        <v>0.0662</v>
      </c>
      <c r="BF83" s="44">
        <f>BE83+Podsumowanie!$E$6</f>
        <v>0.07819999999999999</v>
      </c>
      <c r="BG83" s="11">
        <f>BG$5+SUM(BH$5:BH82)+SUM(R$5:R82)-SUM(S$5:S82)</f>
        <v>396210.6594013604</v>
      </c>
      <c r="BH83" s="10">
        <f t="shared" si="81"/>
        <v>-298.50052273520214</v>
      </c>
      <c r="BI83" s="10">
        <f t="shared" si="79"/>
        <v>-2581.9727970988647</v>
      </c>
      <c r="BJ83" s="10">
        <f>IF(U83&lt;0,PMT(BF83/12,Podsumowanie!E$8-SUM(AB$5:AB83)+1,BG83),0)</f>
        <v>-2880.473319834067</v>
      </c>
      <c r="BL83" s="11">
        <f>BL$5+SUM(BN$5:BN82)+SUM(R$5:R82)-SUM(S$5:S82)</f>
        <v>387743.73259052925</v>
      </c>
      <c r="BM83" s="11">
        <f t="shared" si="88"/>
        <v>-2526.796657381615</v>
      </c>
      <c r="BN83" s="11">
        <f t="shared" si="89"/>
        <v>-1114.2061281337049</v>
      </c>
      <c r="BO83" s="11">
        <f t="shared" si="90"/>
        <v>-3641.0027855153203</v>
      </c>
      <c r="BQ83" s="44">
        <f t="shared" si="91"/>
        <v>0.0783</v>
      </c>
      <c r="BR83" s="11">
        <f>BR$5+SUM(BS$5:BS82)+SUM(R$5:R82)-SUM(S$5:S82)+SUM(BV$5:BV82)</f>
        <v>403817.23097445106</v>
      </c>
      <c r="BS83" s="10">
        <f t="shared" si="101"/>
        <v>-303.6400555981031</v>
      </c>
      <c r="BT83" s="10">
        <f t="shared" si="102"/>
        <v>-2634.907432108293</v>
      </c>
      <c r="BU83" s="10">
        <f>IF(U83&lt;0,PMT(BQ83/12,Podsumowanie!E$8-SUM(AB$5:AB83)+1,BR83),0)</f>
        <v>-2938.547487706396</v>
      </c>
      <c r="BV83" s="10">
        <f t="shared" si="96"/>
        <v>1146.8093890533569</v>
      </c>
      <c r="BX83" s="11">
        <f>BX$5+SUM(BZ$5:BZ82)+SUM(R$5:R82)-SUM(S$5:S82)+SUM(CB$5,CB82)</f>
        <v>389498.669067978</v>
      </c>
      <c r="BY83" s="10">
        <f t="shared" si="92"/>
        <v>-2541.4788156685563</v>
      </c>
      <c r="BZ83" s="10">
        <f t="shared" si="93"/>
        <v>-1119.2490490459138</v>
      </c>
      <c r="CA83" s="10">
        <f t="shared" si="103"/>
        <v>-3660.7278647144703</v>
      </c>
      <c r="CB83" s="10">
        <f t="shared" si="104"/>
        <v>1868.989766061431</v>
      </c>
      <c r="CD83" s="10">
        <f>CD$5+SUM(CE$5:CE82)+SUM(R$5:R82)-SUM(S$5:S82)-SUM(CF$5:CF82)</f>
        <v>403459.3895483161</v>
      </c>
      <c r="CE83" s="10">
        <f t="shared" si="97"/>
        <v>2541.4788156685563</v>
      </c>
      <c r="CF83" s="10">
        <f t="shared" si="98"/>
        <v>1791.7380986530393</v>
      </c>
      <c r="CG83" s="10">
        <f t="shared" si="99"/>
        <v>-749.740717015517</v>
      </c>
      <c r="CI83" s="44">
        <v>0.6932</v>
      </c>
      <c r="CJ83" s="10">
        <f t="shared" si="100"/>
        <v>-1242.03</v>
      </c>
      <c r="CK83" s="4">
        <f t="shared" si="105"/>
        <v>0</v>
      </c>
      <c r="CM83" s="10">
        <f t="shared" si="106"/>
        <v>-23429.482019652805</v>
      </c>
      <c r="CN83" s="4">
        <f t="shared" si="107"/>
        <v>-129.25264247508463</v>
      </c>
    </row>
    <row r="84" spans="1:92" ht="15.75">
      <c r="A84" s="36"/>
      <c r="B84" s="37">
        <v>39661</v>
      </c>
      <c r="C84" s="77">
        <f t="shared" si="85"/>
        <v>2.0279</v>
      </c>
      <c r="D84" s="78">
        <f>C84*(1+Podsumowanie!E$11)</f>
        <v>2.088737</v>
      </c>
      <c r="E84" s="34">
        <f t="shared" si="53"/>
        <v>-863.7725567755743</v>
      </c>
      <c r="F84" s="7">
        <f t="shared" si="82"/>
        <v>-1804.193698921743</v>
      </c>
      <c r="G84" s="7">
        <f t="shared" si="55"/>
        <v>-1905.1246584084117</v>
      </c>
      <c r="H84" s="7">
        <f t="shared" si="83"/>
        <v>-100.93095948666883</v>
      </c>
      <c r="I84" s="32"/>
      <c r="J84" s="4" t="str">
        <f t="shared" si="108"/>
        <v>Ze względu na spadek kursu CHF, rata jest korzystniejsza niż bez klauzuli indeksacyjnej</v>
      </c>
      <c r="K84" s="4">
        <f>IF(B84&lt;Podsumowanie!E$7,0,K83+1)</f>
        <v>14</v>
      </c>
      <c r="L84" s="100">
        <f t="shared" si="86"/>
        <v>0.0278</v>
      </c>
      <c r="M84" s="38">
        <f>L84+Podsumowanie!E$6</f>
        <v>0.0398</v>
      </c>
      <c r="N84" s="101">
        <f>MAX(Podsumowanie!E$4+SUM(AA$5:AA83)-SUM(X$5:X84)+SUM(W$5:W84),0)</f>
        <v>178159.61474139668</v>
      </c>
      <c r="O84" s="102">
        <f>MAX(Podsumowanie!E$2+SUM(V$5:V83)-SUM(S$5:S84)+SUM(R$5:R84),0)</f>
        <v>392946.3520390181</v>
      </c>
      <c r="P84" s="39">
        <f t="shared" si="58"/>
        <v>360</v>
      </c>
      <c r="Q84" s="40" t="str">
        <f>IF(AND(K84&gt;0,K84&lt;=Podsumowanie!E$9),"tak","nie")</f>
        <v>nie</v>
      </c>
      <c r="R84" s="41"/>
      <c r="S84" s="42"/>
      <c r="T84" s="88">
        <f t="shared" si="59"/>
        <v>-1303.2720675960768</v>
      </c>
      <c r="U84" s="89">
        <f>IF(Q84="tak",T84,IF(P84-SUM(AB$5:AB84)+1&gt;0,IF(Podsumowanie!E$7&lt;B84,IF(SUM(AB$5:AB84)-Podsumowanie!E$9+1&gt;0,PMT(M84/12,P84+1-SUM(AB$5:AB84),O84),T84),0),0))</f>
        <v>-1905.1246584084117</v>
      </c>
      <c r="V84" s="89">
        <f t="shared" si="84"/>
        <v>-601.8525908123349</v>
      </c>
      <c r="W84" s="90" t="str">
        <f>IF(R84&gt;0,R84/(C84*(1-Podsumowanie!E$11))," ")</f>
        <v xml:space="preserve"> </v>
      </c>
      <c r="X84" s="90">
        <f t="shared" si="94"/>
        <v>0</v>
      </c>
      <c r="Y84" s="91">
        <f t="shared" si="112"/>
        <v>-590.8960555589657</v>
      </c>
      <c r="Z84" s="90">
        <f>IF(P84-SUM(AB$5:AB84)+1&gt;0,IF(Podsumowanie!E$7&lt;B84,IF(SUM(AB$5:AB84)-Podsumowanie!E$9+1&gt;0,PMT(M84/12,P84+1-SUM(AB$5:AB84),N84),Y84),0),0)</f>
        <v>-863.7725567755743</v>
      </c>
      <c r="AA84" s="90">
        <f t="shared" si="80"/>
        <v>-272.87650121660863</v>
      </c>
      <c r="AB84" s="8">
        <f>IF(AND(Podsumowanie!E$7&lt;B84,SUM(AB$5:AB83)&lt;P83),1," ")</f>
        <v>1</v>
      </c>
      <c r="AD84" s="51">
        <f>IF(OR(B84&lt;Podsumowanie!E$12,Podsumowanie!E$12=""),-F84+S84,0)</f>
        <v>1804.193698921743</v>
      </c>
      <c r="AE84" s="51">
        <f t="shared" si="95"/>
        <v>0</v>
      </c>
      <c r="AG84" s="10">
        <f>Podsumowanie!E$4-SUM(AI$5:AI83)+SUM(W$42:W84)-SUM(X$42:X84)</f>
        <v>175295.6581355522</v>
      </c>
      <c r="AH84" s="10">
        <f t="shared" si="62"/>
        <v>581.4</v>
      </c>
      <c r="AI84" s="10">
        <f t="shared" si="63"/>
        <v>505.17</v>
      </c>
      <c r="AJ84" s="10">
        <f t="shared" si="64"/>
        <v>1086.57</v>
      </c>
      <c r="AK84" s="10">
        <f t="shared" si="109"/>
        <v>2269.56</v>
      </c>
      <c r="AL84" s="10">
        <f>Podsumowanie!E$2-SUM(AN$5:AN83)+SUM(R$42:R84)-SUM(S$42:S84)</f>
        <v>386629.48</v>
      </c>
      <c r="AM84" s="10">
        <f t="shared" si="66"/>
        <v>1282.32</v>
      </c>
      <c r="AN84" s="10">
        <f t="shared" si="67"/>
        <v>1114.21</v>
      </c>
      <c r="AO84" s="10">
        <f t="shared" si="68"/>
        <v>2396.5299999999997</v>
      </c>
      <c r="AP84" s="10">
        <f t="shared" si="69"/>
        <v>-126.9699999999998</v>
      </c>
      <c r="AR84" s="43">
        <f t="shared" si="110"/>
        <v>39661</v>
      </c>
      <c r="AS84" s="11">
        <f>AS$5+SUM(AV$5:AV83)-SUM(X$5:X84)+SUM(W$5:W84)</f>
        <v>172814.82629915478</v>
      </c>
      <c r="AT84" s="10">
        <f t="shared" si="71"/>
        <v>-573.1691738921967</v>
      </c>
      <c r="AU84" s="10">
        <f>IF(AB84=1,IF(Q84="tak",AT84,PMT(M84/12,P84+1-SUM(AB$5:AB84),AS84)),0)</f>
        <v>-837.8593800723071</v>
      </c>
      <c r="AV84" s="10">
        <f t="shared" si="72"/>
        <v>-264.6902061801104</v>
      </c>
      <c r="AW84" s="10">
        <f t="shared" si="73"/>
        <v>-1699.0950368486315</v>
      </c>
      <c r="AY84" s="11">
        <f>AY$5+SUM(BA$5:BA83)+SUM(W$5:W83)-SUM(X$5:X83)</f>
        <v>170036.72719148564</v>
      </c>
      <c r="AZ84" s="11">
        <f t="shared" si="74"/>
        <v>-573.1691738921967</v>
      </c>
      <c r="BA84" s="11">
        <f t="shared" si="75"/>
        <v>-490.02</v>
      </c>
      <c r="BB84" s="11">
        <f t="shared" si="76"/>
        <v>-1063.1891738921968</v>
      </c>
      <c r="BC84" s="11">
        <f t="shared" si="111"/>
        <v>-2156.0413257359855</v>
      </c>
      <c r="BE84" s="172">
        <f t="shared" si="87"/>
        <v>0.0652</v>
      </c>
      <c r="BF84" s="44">
        <f>BE84+Podsumowanie!$E$6</f>
        <v>0.07719999999999999</v>
      </c>
      <c r="BG84" s="11">
        <f>BG$5+SUM(BH$5:BH83)+SUM(R$5:R83)-SUM(S$5:S83)</f>
        <v>395912.15887862514</v>
      </c>
      <c r="BH84" s="10">
        <f t="shared" si="81"/>
        <v>-306.31696752453445</v>
      </c>
      <c r="BI84" s="10">
        <f t="shared" si="79"/>
        <v>-2547.0348887858213</v>
      </c>
      <c r="BJ84" s="10">
        <f>IF(U84&lt;0,PMT(BF84/12,Podsumowanie!E$8-SUM(AB$5:AB84)+1,BG84),0)</f>
        <v>-2853.3518563103557</v>
      </c>
      <c r="BL84" s="11">
        <f>BL$5+SUM(BN$5:BN83)+SUM(R$5:R83)-SUM(S$5:S83)</f>
        <v>386629.52646239556</v>
      </c>
      <c r="BM84" s="11">
        <f t="shared" si="88"/>
        <v>-2487.316620241411</v>
      </c>
      <c r="BN84" s="11">
        <f t="shared" si="89"/>
        <v>-1114.2061281337049</v>
      </c>
      <c r="BO84" s="11">
        <f t="shared" si="90"/>
        <v>-3601.522748375116</v>
      </c>
      <c r="BQ84" s="44">
        <f t="shared" si="91"/>
        <v>0.0773</v>
      </c>
      <c r="BR84" s="11">
        <f>BR$5+SUM(BS$5:BS83)+SUM(R$5:R83)-SUM(S$5:S83)+SUM(BV$5:BV83)</f>
        <v>404660.40030790627</v>
      </c>
      <c r="BS84" s="10">
        <f t="shared" si="101"/>
        <v>-312.48088856987033</v>
      </c>
      <c r="BT84" s="10">
        <f t="shared" si="102"/>
        <v>-2606.6874119834292</v>
      </c>
      <c r="BU84" s="10">
        <f>IF(U84&lt;0,PMT(BQ84/12,Podsumowanie!E$8-SUM(AB$5:AB84)+1,BR84),0)</f>
        <v>-2919.1683005532996</v>
      </c>
      <c r="BV84" s="10">
        <f t="shared" si="96"/>
        <v>1114.9746016315567</v>
      </c>
      <c r="BX84" s="11">
        <f>BX$5+SUM(BZ$5:BZ83)+SUM(R$5:R83)-SUM(S$5:S83)+SUM(CB$5,CB83)</f>
        <v>388454.3946797174</v>
      </c>
      <c r="BY84" s="10">
        <f t="shared" si="92"/>
        <v>-2502.293725728513</v>
      </c>
      <c r="BZ84" s="10">
        <f t="shared" si="93"/>
        <v>-1119.4651143507706</v>
      </c>
      <c r="CA84" s="10">
        <f t="shared" si="103"/>
        <v>-3621.758840079284</v>
      </c>
      <c r="CB84" s="10">
        <f t="shared" si="104"/>
        <v>1817.565141157541</v>
      </c>
      <c r="CD84" s="10">
        <f>CD$5+SUM(CE$5:CE83)+SUM(R$5:R83)-SUM(S$5:S83)-SUM(CF$5:CF83)</f>
        <v>404209.1302653316</v>
      </c>
      <c r="CE84" s="10">
        <f t="shared" si="97"/>
        <v>2502.293725728513</v>
      </c>
      <c r="CF84" s="10">
        <f t="shared" si="98"/>
        <v>1804.193698921743</v>
      </c>
      <c r="CG84" s="10">
        <f t="shared" si="99"/>
        <v>-698.1000268067701</v>
      </c>
      <c r="CI84" s="44">
        <v>0.6932</v>
      </c>
      <c r="CJ84" s="10">
        <f t="shared" si="100"/>
        <v>-1250.67</v>
      </c>
      <c r="CK84" s="4">
        <f t="shared" si="105"/>
        <v>0</v>
      </c>
      <c r="CM84" s="10">
        <f t="shared" si="106"/>
        <v>-25233.67571857455</v>
      </c>
      <c r="CN84" s="4">
        <f t="shared" si="107"/>
        <v>-137.10297140425504</v>
      </c>
    </row>
    <row r="85" spans="1:92" ht="15.75">
      <c r="A85" s="36"/>
      <c r="B85" s="37">
        <v>39692</v>
      </c>
      <c r="C85" s="77">
        <f t="shared" si="85"/>
        <v>2.1152</v>
      </c>
      <c r="D85" s="78">
        <f>C85*(1+Podsumowanie!E$11)</f>
        <v>2.178656</v>
      </c>
      <c r="E85" s="34">
        <f t="shared" si="53"/>
        <v>-863.7725567755747</v>
      </c>
      <c r="F85" s="7">
        <f t="shared" si="82"/>
        <v>-1881.8632634544465</v>
      </c>
      <c r="G85" s="7">
        <f t="shared" si="55"/>
        <v>-1905.124658408412</v>
      </c>
      <c r="H85" s="7">
        <f t="shared" si="83"/>
        <v>-23.261394953965464</v>
      </c>
      <c r="I85" s="32"/>
      <c r="J85" s="4" t="str">
        <f t="shared" si="108"/>
        <v>Ze względu na spadek kursu CHF, rata jest korzystniejsza niż bez klauzuli indeksacyjnej</v>
      </c>
      <c r="K85" s="4">
        <f>IF(B85&lt;Podsumowanie!E$7,0,K84+1)</f>
        <v>15</v>
      </c>
      <c r="L85" s="100">
        <f t="shared" si="86"/>
        <v>0.0278</v>
      </c>
      <c r="M85" s="38">
        <f>L85+Podsumowanie!E$6</f>
        <v>0.0398</v>
      </c>
      <c r="N85" s="101">
        <f>MAX(Podsumowanie!E$4+SUM(AA$5:AA84)-SUM(X$5:X85)+SUM(W$5:W85),0)</f>
        <v>177886.7382401801</v>
      </c>
      <c r="O85" s="102">
        <f>MAX(Podsumowanie!E$2+SUM(V$5:V84)-SUM(S$5:S85)+SUM(R$5:R85),0)</f>
        <v>392344.4994482058</v>
      </c>
      <c r="P85" s="39">
        <f t="shared" si="58"/>
        <v>360</v>
      </c>
      <c r="Q85" s="40" t="str">
        <f>IF(AND(K85&gt;0,K85&lt;=Podsumowanie!E$9),"tak","nie")</f>
        <v>nie</v>
      </c>
      <c r="R85" s="41"/>
      <c r="S85" s="42"/>
      <c r="T85" s="88">
        <f t="shared" si="59"/>
        <v>-1301.2759231698826</v>
      </c>
      <c r="U85" s="89">
        <f>IF(Q85="tak",T85,IF(P85-SUM(AB$5:AB85)+1&gt;0,IF(Podsumowanie!E$7&lt;B85,IF(SUM(AB$5:AB85)-Podsumowanie!E$9+1&gt;0,PMT(M85/12,P85+1-SUM(AB$5:AB85),O85),T85),0),0))</f>
        <v>-1905.124658408412</v>
      </c>
      <c r="V85" s="89">
        <f t="shared" si="84"/>
        <v>-603.8487352385293</v>
      </c>
      <c r="W85" s="90" t="str">
        <f>IF(R85&gt;0,R85/(C85*(1-Podsumowanie!E$11))," ")</f>
        <v xml:space="preserve"> </v>
      </c>
      <c r="X85" s="90">
        <f t="shared" si="94"/>
        <v>0</v>
      </c>
      <c r="Y85" s="91">
        <f t="shared" si="112"/>
        <v>-589.991015163264</v>
      </c>
      <c r="Z85" s="90">
        <f>IF(P85-SUM(AB$5:AB85)+1&gt;0,IF(Podsumowanie!E$7&lt;B85,IF(SUM(AB$5:AB85)-Podsumowanie!E$9+1&gt;0,PMT(M85/12,P85+1-SUM(AB$5:AB85),N85),Y85),0),0)</f>
        <v>-863.7725567755747</v>
      </c>
      <c r="AA85" s="90">
        <f t="shared" si="80"/>
        <v>-273.78154161231066</v>
      </c>
      <c r="AB85" s="8">
        <f>IF(AND(Podsumowanie!E$7&lt;B85,SUM(AB$5:AB84)&lt;P84),1," ")</f>
        <v>1</v>
      </c>
      <c r="AD85" s="51">
        <f>IF(OR(B85&lt;Podsumowanie!E$12,Podsumowanie!E$12=""),-F85+S85,0)</f>
        <v>1881.8632634544465</v>
      </c>
      <c r="AE85" s="51">
        <f t="shared" si="95"/>
        <v>0</v>
      </c>
      <c r="AG85" s="10">
        <f>Podsumowanie!E$4-SUM(AI$5:AI84)+SUM(W$42:W85)-SUM(X$42:X85)</f>
        <v>174790.4881355522</v>
      </c>
      <c r="AH85" s="10">
        <f t="shared" si="62"/>
        <v>579.72</v>
      </c>
      <c r="AI85" s="10">
        <f t="shared" si="63"/>
        <v>505.17</v>
      </c>
      <c r="AJ85" s="10">
        <f t="shared" si="64"/>
        <v>1084.89</v>
      </c>
      <c r="AK85" s="10">
        <f t="shared" si="109"/>
        <v>2363.6</v>
      </c>
      <c r="AL85" s="10">
        <f>Podsumowanie!E$2-SUM(AN$5:AN84)+SUM(R$42:R85)-SUM(S$42:S85)</f>
        <v>385515.27</v>
      </c>
      <c r="AM85" s="10">
        <f t="shared" si="66"/>
        <v>1278.63</v>
      </c>
      <c r="AN85" s="10">
        <f t="shared" si="67"/>
        <v>1114.21</v>
      </c>
      <c r="AO85" s="10">
        <f t="shared" si="68"/>
        <v>2392.84</v>
      </c>
      <c r="AP85" s="10">
        <f t="shared" si="69"/>
        <v>-29.240000000000236</v>
      </c>
      <c r="AR85" s="43">
        <f t="shared" si="110"/>
        <v>39692</v>
      </c>
      <c r="AS85" s="11">
        <f>AS$5+SUM(AV$5:AV84)-SUM(X$5:X85)+SUM(W$5:W85)</f>
        <v>172550.1360929747</v>
      </c>
      <c r="AT85" s="10">
        <f t="shared" si="71"/>
        <v>-572.2912847083661</v>
      </c>
      <c r="AU85" s="10">
        <f>IF(AB85=1,IF(Q85="tak",AT85,PMT(M85/12,P85+1-SUM(AB$5:AB85),AS85)),0)</f>
        <v>-837.8593800723073</v>
      </c>
      <c r="AV85" s="10">
        <f t="shared" si="72"/>
        <v>-265.5680953639412</v>
      </c>
      <c r="AW85" s="10">
        <f t="shared" si="73"/>
        <v>-1772.2401607289446</v>
      </c>
      <c r="AY85" s="11">
        <f>AY$5+SUM(BA$5:BA84)+SUM(W$5:W84)-SUM(X$5:X84)</f>
        <v>169546.70719148562</v>
      </c>
      <c r="AZ85" s="11">
        <f t="shared" si="74"/>
        <v>-572.2912847083661</v>
      </c>
      <c r="BA85" s="11">
        <f t="shared" si="75"/>
        <v>-490.02</v>
      </c>
      <c r="BB85" s="11">
        <f t="shared" si="76"/>
        <v>-1062.3112847083662</v>
      </c>
      <c r="BC85" s="11">
        <f t="shared" si="111"/>
        <v>-2247.000829415136</v>
      </c>
      <c r="BE85" s="172">
        <f t="shared" si="87"/>
        <v>0.0656</v>
      </c>
      <c r="BF85" s="44">
        <f>BE85+Podsumowanie!$E$6</f>
        <v>0.0776</v>
      </c>
      <c r="BG85" s="11">
        <f>BG$5+SUM(BH$5:BH84)+SUM(R$5:R84)-SUM(S$5:S84)</f>
        <v>395605.8419111006</v>
      </c>
      <c r="BH85" s="10">
        <f t="shared" si="81"/>
        <v>-305.92053607385833</v>
      </c>
      <c r="BI85" s="10">
        <f t="shared" si="79"/>
        <v>-2558.2511110251176</v>
      </c>
      <c r="BJ85" s="10">
        <f>IF(U85&lt;0,PMT(BF85/12,Podsumowanie!E$8-SUM(AB$5:AB85)+1,BG85),0)</f>
        <v>-2864.171647098976</v>
      </c>
      <c r="BL85" s="11">
        <f>BL$5+SUM(BN$5:BN84)+SUM(R$5:R84)-SUM(S$5:S84)</f>
        <v>385515.32033426187</v>
      </c>
      <c r="BM85" s="11">
        <f t="shared" si="88"/>
        <v>-2492.9990714948935</v>
      </c>
      <c r="BN85" s="11">
        <f t="shared" si="89"/>
        <v>-1114.2061281337049</v>
      </c>
      <c r="BO85" s="11">
        <f t="shared" si="90"/>
        <v>-3607.205199628598</v>
      </c>
      <c r="BQ85" s="44">
        <f t="shared" si="91"/>
        <v>0.0777</v>
      </c>
      <c r="BR85" s="11">
        <f>BR$5+SUM(BS$5:BS84)+SUM(R$5:R84)-SUM(S$5:S84)+SUM(BV$5:BV84)</f>
        <v>405462.894020968</v>
      </c>
      <c r="BS85" s="10">
        <f t="shared" si="101"/>
        <v>-312.9389478640478</v>
      </c>
      <c r="BT85" s="10">
        <f t="shared" si="102"/>
        <v>-2625.372238785768</v>
      </c>
      <c r="BU85" s="10">
        <f>IF(U85&lt;0,PMT(BQ85/12,Podsumowanie!E$8-SUM(AB$5:AB85)+1,BR85),0)</f>
        <v>-2938.3111866498157</v>
      </c>
      <c r="BV85" s="10">
        <f t="shared" si="96"/>
        <v>1056.4479231953692</v>
      </c>
      <c r="BX85" s="11">
        <f>BX$5+SUM(BZ$5:BZ84)+SUM(R$5:R84)-SUM(S$5:S84)+SUM(CB$5,CB84)</f>
        <v>387283.50494046276</v>
      </c>
      <c r="BY85" s="10">
        <f t="shared" si="92"/>
        <v>-2507.6606944894966</v>
      </c>
      <c r="BZ85" s="10">
        <f t="shared" si="93"/>
        <v>-1119.3164882672334</v>
      </c>
      <c r="CA85" s="10">
        <f t="shared" si="103"/>
        <v>-3626.97718275673</v>
      </c>
      <c r="CB85" s="10">
        <f t="shared" si="104"/>
        <v>1745.1139193022836</v>
      </c>
      <c r="CD85" s="10">
        <f>CD$5+SUM(CE$5:CE84)+SUM(R$5:R84)-SUM(S$5:S84)-SUM(CF$5:CF84)</f>
        <v>404907.23029213835</v>
      </c>
      <c r="CE85" s="10">
        <f t="shared" si="97"/>
        <v>2507.6606944894966</v>
      </c>
      <c r="CF85" s="10">
        <f t="shared" si="98"/>
        <v>1881.8632634544465</v>
      </c>
      <c r="CG85" s="10">
        <f t="shared" si="99"/>
        <v>-625.7974310350501</v>
      </c>
      <c r="CI85" s="44">
        <v>0.7</v>
      </c>
      <c r="CJ85" s="10">
        <f t="shared" si="100"/>
        <v>-1317.3</v>
      </c>
      <c r="CK85" s="4">
        <f t="shared" si="105"/>
        <v>0</v>
      </c>
      <c r="CM85" s="10">
        <f t="shared" si="106"/>
        <v>-27115.538982028993</v>
      </c>
      <c r="CN85" s="4">
        <f t="shared" si="107"/>
        <v>-148.2316131017585</v>
      </c>
    </row>
    <row r="86" spans="1:92" ht="15.75">
      <c r="A86" s="36"/>
      <c r="B86" s="37">
        <v>39722</v>
      </c>
      <c r="C86" s="77">
        <f t="shared" si="85"/>
        <v>2.3634</v>
      </c>
      <c r="D86" s="78">
        <f>C86*(1+Podsumowanie!E$11)</f>
        <v>2.434302</v>
      </c>
      <c r="E86" s="34">
        <f t="shared" si="53"/>
        <v>-879.033969972102</v>
      </c>
      <c r="F86" s="7">
        <f t="shared" si="82"/>
        <v>-2139.834151171028</v>
      </c>
      <c r="G86" s="7">
        <f t="shared" si="55"/>
        <v>-1938.7850176948887</v>
      </c>
      <c r="H86" s="7">
        <f t="shared" si="83"/>
        <v>201.04913347613956</v>
      </c>
      <c r="I86" s="32"/>
      <c r="J86" s="4" t="str">
        <f t="shared" si="108"/>
        <v xml:space="preserve"> </v>
      </c>
      <c r="K86" s="4">
        <f>IF(B86&lt;Podsumowanie!E$7,0,K85+1)</f>
        <v>16</v>
      </c>
      <c r="L86" s="100">
        <f t="shared" si="86"/>
        <v>0.0293</v>
      </c>
      <c r="M86" s="38">
        <f>L86+Podsumowanie!E$6</f>
        <v>0.0413</v>
      </c>
      <c r="N86" s="101">
        <f>MAX(Podsumowanie!E$4+SUM(AA$5:AA85)-SUM(X$5:X86)+SUM(W$5:W86),0)</f>
        <v>177612.95669856778</v>
      </c>
      <c r="O86" s="102">
        <f>MAX(Podsumowanie!E$2+SUM(V$5:V85)-SUM(S$5:S86)+SUM(R$5:R86),0)</f>
        <v>391740.65071296727</v>
      </c>
      <c r="P86" s="39">
        <f t="shared" si="58"/>
        <v>360</v>
      </c>
      <c r="Q86" s="40" t="str">
        <f>IF(AND(K86&gt;0,K86&lt;=Podsumowanie!E$9),"tak","nie")</f>
        <v>nie</v>
      </c>
      <c r="R86" s="41"/>
      <c r="S86" s="42"/>
      <c r="T86" s="88">
        <f t="shared" si="59"/>
        <v>-1348.240739537129</v>
      </c>
      <c r="U86" s="89">
        <f>IF(Q86="tak",T86,IF(P86-SUM(AB$5:AB86)+1&gt;0,IF(Podsumowanie!E$7&lt;B86,IF(SUM(AB$5:AB86)-Podsumowanie!E$9+1&gt;0,PMT(M86/12,P86+1-SUM(AB$5:AB86),O86),T86),0),0))</f>
        <v>-1938.7850176948887</v>
      </c>
      <c r="V86" s="89">
        <f t="shared" si="84"/>
        <v>-590.5442781577597</v>
      </c>
      <c r="W86" s="90" t="str">
        <f>IF(R86&gt;0,R86/(C86*(1-Podsumowanie!E$11))," ")</f>
        <v xml:space="preserve"> </v>
      </c>
      <c r="X86" s="90">
        <f t="shared" si="94"/>
        <v>0</v>
      </c>
      <c r="Y86" s="91">
        <f t="shared" si="112"/>
        <v>-611.2845926375709</v>
      </c>
      <c r="Z86" s="90">
        <f>IF(P86-SUM(AB$5:AB86)+1&gt;0,IF(Podsumowanie!E$7&lt;B86,IF(SUM(AB$5:AB86)-Podsumowanie!E$9+1&gt;0,PMT(M86/12,P86+1-SUM(AB$5:AB86),N86),Y86),0),0)</f>
        <v>-879.033969972102</v>
      </c>
      <c r="AA86" s="90">
        <f t="shared" si="80"/>
        <v>-267.7493773345311</v>
      </c>
      <c r="AB86" s="8">
        <f>IF(AND(Podsumowanie!E$7&lt;B86,SUM(AB$5:AB85)&lt;P85),1," ")</f>
        <v>1</v>
      </c>
      <c r="AD86" s="51">
        <f>IF(OR(B86&lt;Podsumowanie!E$12,Podsumowanie!E$12=""),-F86+S86,0)</f>
        <v>2139.834151171028</v>
      </c>
      <c r="AE86" s="51">
        <f t="shared" si="95"/>
        <v>0</v>
      </c>
      <c r="AG86" s="10">
        <f>Podsumowanie!E$4-SUM(AI$5:AI85)+SUM(W$42:W86)-SUM(X$42:X86)</f>
        <v>174285.3181355522</v>
      </c>
      <c r="AH86" s="10">
        <f t="shared" si="62"/>
        <v>599.83</v>
      </c>
      <c r="AI86" s="10">
        <f t="shared" si="63"/>
        <v>505.17</v>
      </c>
      <c r="AJ86" s="10">
        <f t="shared" si="64"/>
        <v>1105</v>
      </c>
      <c r="AK86" s="10">
        <f t="shared" si="109"/>
        <v>2689.9</v>
      </c>
      <c r="AL86" s="10">
        <f>Podsumowanie!E$2-SUM(AN$5:AN85)+SUM(R$42:R86)-SUM(S$42:S86)</f>
        <v>384401.06</v>
      </c>
      <c r="AM86" s="10">
        <f t="shared" si="66"/>
        <v>1322.98</v>
      </c>
      <c r="AN86" s="10">
        <f t="shared" si="67"/>
        <v>1114.21</v>
      </c>
      <c r="AO86" s="10">
        <f t="shared" si="68"/>
        <v>2437.19</v>
      </c>
      <c r="AP86" s="10">
        <f t="shared" si="69"/>
        <v>252.71000000000004</v>
      </c>
      <c r="AR86" s="43">
        <f t="shared" si="110"/>
        <v>39722</v>
      </c>
      <c r="AS86" s="11">
        <f>AS$5+SUM(AV$5:AV85)-SUM(X$5:X86)+SUM(W$5:W86)</f>
        <v>172284.56799761075</v>
      </c>
      <c r="AT86" s="10">
        <f t="shared" si="71"/>
        <v>-592.9460548584437</v>
      </c>
      <c r="AU86" s="10">
        <f>IF(AB86=1,IF(Q86="tak",AT86,PMT(M86/12,P86+1-SUM(AB$5:AB86),AS86)),0)</f>
        <v>-852.6629508729391</v>
      </c>
      <c r="AV86" s="10">
        <f t="shared" si="72"/>
        <v>-259.7168960144953</v>
      </c>
      <c r="AW86" s="10">
        <f t="shared" si="73"/>
        <v>-2015.183618093104</v>
      </c>
      <c r="AY86" s="11">
        <f>AY$5+SUM(BA$5:BA85)+SUM(W$5:W85)-SUM(X$5:X85)</f>
        <v>169056.68719148563</v>
      </c>
      <c r="AZ86" s="11">
        <f t="shared" si="74"/>
        <v>-592.9460548584437</v>
      </c>
      <c r="BA86" s="11">
        <f t="shared" si="75"/>
        <v>-490.02</v>
      </c>
      <c r="BB86" s="11">
        <f t="shared" si="76"/>
        <v>-1082.9660548584438</v>
      </c>
      <c r="BC86" s="11">
        <f t="shared" si="111"/>
        <v>-2559.4819740524463</v>
      </c>
      <c r="BE86" s="172">
        <f t="shared" si="87"/>
        <v>0.068</v>
      </c>
      <c r="BF86" s="44">
        <f>BE86+Podsumowanie!$E$6</f>
        <v>0.08</v>
      </c>
      <c r="BG86" s="11">
        <f>BG$5+SUM(BH$5:BH85)+SUM(R$5:R85)-SUM(S$5:S85)</f>
        <v>395299.92137502675</v>
      </c>
      <c r="BH86" s="10">
        <f t="shared" si="81"/>
        <v>-293.9798757961771</v>
      </c>
      <c r="BI86" s="10">
        <f t="shared" si="79"/>
        <v>-2635.332809166845</v>
      </c>
      <c r="BJ86" s="10">
        <f>IF(U86&lt;0,PMT(BF86/12,Podsumowanie!E$8-SUM(AB$5:AB86)+1,BG86),0)</f>
        <v>-2929.312684963022</v>
      </c>
      <c r="BL86" s="11">
        <f>BL$5+SUM(BN$5:BN85)+SUM(R$5:R85)-SUM(S$5:S85)</f>
        <v>384401.1142061281</v>
      </c>
      <c r="BM86" s="11">
        <f t="shared" si="88"/>
        <v>-2562.674094707521</v>
      </c>
      <c r="BN86" s="11">
        <f t="shared" si="89"/>
        <v>-1114.2061281337046</v>
      </c>
      <c r="BO86" s="11">
        <f t="shared" si="90"/>
        <v>-3676.8802228412255</v>
      </c>
      <c r="BQ86" s="44">
        <f t="shared" si="91"/>
        <v>0.0801</v>
      </c>
      <c r="BR86" s="11">
        <f>BR$5+SUM(BS$5:BS85)+SUM(R$5:R85)-SUM(S$5:S85)+SUM(BV$5:BV85)</f>
        <v>406206.4029962993</v>
      </c>
      <c r="BS86" s="10">
        <f t="shared" si="101"/>
        <v>-301.5072141072501</v>
      </c>
      <c r="BT86" s="10">
        <f t="shared" si="102"/>
        <v>-2711.427740000298</v>
      </c>
      <c r="BU86" s="10">
        <f>IF(U86&lt;0,PMT(BQ86/12,Podsumowanie!E$8-SUM(AB$5:AB86)+1,BR86),0)</f>
        <v>-3012.934954107548</v>
      </c>
      <c r="BV86" s="10">
        <f t="shared" si="96"/>
        <v>873.1008029365198</v>
      </c>
      <c r="BX86" s="11">
        <f>BX$5+SUM(BZ$5:BZ85)+SUM(R$5:R85)-SUM(S$5:S85)+SUM(CB$5,CB85)</f>
        <v>386091.73723034025</v>
      </c>
      <c r="BY86" s="10">
        <f t="shared" si="92"/>
        <v>-2577.1623460125215</v>
      </c>
      <c r="BZ86" s="10">
        <f t="shared" si="93"/>
        <v>-1119.106484725624</v>
      </c>
      <c r="CA86" s="10">
        <f t="shared" si="103"/>
        <v>-3696.2688307381454</v>
      </c>
      <c r="CB86" s="10">
        <f t="shared" si="104"/>
        <v>1556.4346795671172</v>
      </c>
      <c r="CD86" s="10">
        <f>CD$5+SUM(CE$5:CE85)+SUM(R$5:R85)-SUM(S$5:S85)-SUM(CF$5:CF85)</f>
        <v>405533.0277231734</v>
      </c>
      <c r="CE86" s="10">
        <f t="shared" si="97"/>
        <v>2577.1623460125215</v>
      </c>
      <c r="CF86" s="10">
        <f t="shared" si="98"/>
        <v>2139.834151171028</v>
      </c>
      <c r="CG86" s="10">
        <f t="shared" si="99"/>
        <v>-437.3281948414933</v>
      </c>
      <c r="CI86" s="44">
        <v>0.6949</v>
      </c>
      <c r="CJ86" s="10">
        <f t="shared" si="100"/>
        <v>-1486.97</v>
      </c>
      <c r="CK86" s="4">
        <f t="shared" si="105"/>
        <v>0</v>
      </c>
      <c r="CM86" s="10">
        <f t="shared" si="106"/>
        <v>-29255.37313320002</v>
      </c>
      <c r="CN86" s="4">
        <f t="shared" si="107"/>
        <v>-165.78044775480012</v>
      </c>
    </row>
    <row r="87" spans="1:92" ht="15.75">
      <c r="A87" s="36"/>
      <c r="B87" s="37">
        <v>39753</v>
      </c>
      <c r="C87" s="77">
        <f t="shared" si="85"/>
        <v>2.4566</v>
      </c>
      <c r="D87" s="78">
        <f>C87*(1+Podsumowanie!E$11)</f>
        <v>2.530298</v>
      </c>
      <c r="E87" s="34">
        <f t="shared" si="53"/>
        <v>-862.796127064768</v>
      </c>
      <c r="F87" s="7">
        <f t="shared" si="82"/>
        <v>-2183.1313147197284</v>
      </c>
      <c r="G87" s="7">
        <f t="shared" si="55"/>
        <v>-1902.9710587082734</v>
      </c>
      <c r="H87" s="7">
        <f t="shared" si="83"/>
        <v>280.160256011455</v>
      </c>
      <c r="I87" s="32"/>
      <c r="J87" s="4" t="str">
        <f t="shared" si="108"/>
        <v xml:space="preserve"> </v>
      </c>
      <c r="K87" s="4">
        <f>IF(B87&lt;Podsumowanie!E$7,0,K86+1)</f>
        <v>17</v>
      </c>
      <c r="L87" s="100">
        <f t="shared" si="86"/>
        <v>0.0277</v>
      </c>
      <c r="M87" s="38">
        <f>L87+Podsumowanie!E$6</f>
        <v>0.0397</v>
      </c>
      <c r="N87" s="101">
        <f>MAX(Podsumowanie!E$4+SUM(AA$5:AA86)-SUM(X$5:X87)+SUM(W$5:W87),0)</f>
        <v>177345.20732123323</v>
      </c>
      <c r="O87" s="102">
        <f>MAX(Podsumowanie!E$2+SUM(V$5:V86)-SUM(S$5:S87)+SUM(R$5:R87),0)</f>
        <v>391150.1064348095</v>
      </c>
      <c r="P87" s="39">
        <f t="shared" si="58"/>
        <v>360</v>
      </c>
      <c r="Q87" s="40" t="str">
        <f>IF(AND(K87&gt;0,K87&lt;=Podsumowanie!E$9),"tak","nie")</f>
        <v>nie</v>
      </c>
      <c r="R87" s="41"/>
      <c r="S87" s="42"/>
      <c r="T87" s="88">
        <f t="shared" si="59"/>
        <v>-1294.0549354551615</v>
      </c>
      <c r="U87" s="89">
        <f>IF(Q87="tak",T87,IF(P87-SUM(AB$5:AB87)+1&gt;0,IF(Podsumowanie!E$7&lt;B87,IF(SUM(AB$5:AB87)-Podsumowanie!E$9+1&gt;0,PMT(M87/12,P87+1-SUM(AB$5:AB87),O87),T87),0),0))</f>
        <v>-1902.9710587082734</v>
      </c>
      <c r="V87" s="89">
        <f t="shared" si="84"/>
        <v>-608.9161232531119</v>
      </c>
      <c r="W87" s="90" t="str">
        <f>IF(R87&gt;0,R87/(C87*(1-Podsumowanie!E$11))," ")</f>
        <v xml:space="preserve"> </v>
      </c>
      <c r="X87" s="90">
        <f t="shared" si="94"/>
        <v>0</v>
      </c>
      <c r="Y87" s="91">
        <f t="shared" si="112"/>
        <v>-586.7170608877466</v>
      </c>
      <c r="Z87" s="90">
        <f>IF(P87-SUM(AB$5:AB87)+1&gt;0,IF(Podsumowanie!E$7&lt;B87,IF(SUM(AB$5:AB87)-Podsumowanie!E$9+1&gt;0,PMT(M87/12,P87+1-SUM(AB$5:AB87),N87),Y87),0),0)</f>
        <v>-862.796127064768</v>
      </c>
      <c r="AA87" s="90">
        <f t="shared" si="80"/>
        <v>-276.07906617702145</v>
      </c>
      <c r="AB87" s="8">
        <f>IF(AND(Podsumowanie!E$7&lt;B87,SUM(AB$5:AB86)&lt;P86),1," ")</f>
        <v>1</v>
      </c>
      <c r="AD87" s="51">
        <f>IF(OR(B87&lt;Podsumowanie!E$12,Podsumowanie!E$12=""),-F87+S87,0)</f>
        <v>2183.1313147197284</v>
      </c>
      <c r="AE87" s="51">
        <f t="shared" si="95"/>
        <v>0</v>
      </c>
      <c r="AG87" s="10">
        <f>Podsumowanie!E$4-SUM(AI$5:AI86)+SUM(W$42:W87)-SUM(X$42:X87)</f>
        <v>173780.1481355522</v>
      </c>
      <c r="AH87" s="10">
        <f t="shared" si="62"/>
        <v>574.92</v>
      </c>
      <c r="AI87" s="10">
        <f t="shared" si="63"/>
        <v>505.17</v>
      </c>
      <c r="AJ87" s="10">
        <f t="shared" si="64"/>
        <v>1080.09</v>
      </c>
      <c r="AK87" s="10">
        <f t="shared" si="109"/>
        <v>2732.95</v>
      </c>
      <c r="AL87" s="10">
        <f>Podsumowanie!E$2-SUM(AN$5:AN86)+SUM(R$42:R87)-SUM(S$42:S87)</f>
        <v>383286.85</v>
      </c>
      <c r="AM87" s="10">
        <f t="shared" si="66"/>
        <v>1268.04</v>
      </c>
      <c r="AN87" s="10">
        <f t="shared" si="67"/>
        <v>1114.21</v>
      </c>
      <c r="AO87" s="10">
        <f t="shared" si="68"/>
        <v>2382.25</v>
      </c>
      <c r="AP87" s="10">
        <f t="shared" si="69"/>
        <v>350.6999999999998</v>
      </c>
      <c r="AR87" s="43">
        <f t="shared" si="110"/>
        <v>39753</v>
      </c>
      <c r="AS87" s="11">
        <f>AS$5+SUM(AV$5:AV86)-SUM(X$5:X87)+SUM(W$5:W87)</f>
        <v>172024.85110159626</v>
      </c>
      <c r="AT87" s="10">
        <f t="shared" si="71"/>
        <v>-569.1155490611143</v>
      </c>
      <c r="AU87" s="10">
        <f>IF(AB87=1,IF(Q87="tak",AT87,PMT(M87/12,P87+1-SUM(AB$5:AB87),AS87)),0)</f>
        <v>-836.9122432528251</v>
      </c>
      <c r="AV87" s="10">
        <f t="shared" si="72"/>
        <v>-267.7966941917108</v>
      </c>
      <c r="AW87" s="10">
        <f t="shared" si="73"/>
        <v>-2055.95861677489</v>
      </c>
      <c r="AY87" s="11">
        <f>AY$5+SUM(BA$5:BA86)+SUM(W$5:W86)-SUM(X$5:X86)</f>
        <v>168566.66719148564</v>
      </c>
      <c r="AZ87" s="11">
        <f t="shared" si="74"/>
        <v>-569.1155490611143</v>
      </c>
      <c r="BA87" s="11">
        <f t="shared" si="75"/>
        <v>-490.02</v>
      </c>
      <c r="BB87" s="11">
        <f t="shared" si="76"/>
        <v>-1059.1355490611143</v>
      </c>
      <c r="BC87" s="11">
        <f t="shared" si="111"/>
        <v>-2601.872389823533</v>
      </c>
      <c r="BE87" s="172">
        <f t="shared" si="87"/>
        <v>0.0674</v>
      </c>
      <c r="BF87" s="44">
        <f>BE87+Podsumowanie!$E$6</f>
        <v>0.0794</v>
      </c>
      <c r="BG87" s="11">
        <f>BG$5+SUM(BH$5:BH86)+SUM(R$5:R86)-SUM(S$5:S86)</f>
        <v>395005.94149923057</v>
      </c>
      <c r="BH87" s="10">
        <f t="shared" si="81"/>
        <v>-299.3783133295856</v>
      </c>
      <c r="BI87" s="10">
        <f t="shared" si="79"/>
        <v>-2613.6226462532422</v>
      </c>
      <c r="BJ87" s="10">
        <f>IF(U87&lt;0,PMT(BF87/12,Podsumowanie!E$8-SUM(AB$5:AB87)+1,BG87),0)</f>
        <v>-2913.000959582828</v>
      </c>
      <c r="BL87" s="11">
        <f>BL$5+SUM(BN$5:BN86)+SUM(R$5:R86)-SUM(S$5:S86)</f>
        <v>383286.9080779944</v>
      </c>
      <c r="BM87" s="11">
        <f t="shared" si="88"/>
        <v>-2536.0817084493965</v>
      </c>
      <c r="BN87" s="11">
        <f t="shared" si="89"/>
        <v>-1114.2061281337046</v>
      </c>
      <c r="BO87" s="11">
        <f t="shared" si="90"/>
        <v>-3650.287836583101</v>
      </c>
      <c r="BQ87" s="44">
        <f t="shared" si="91"/>
        <v>0.0795</v>
      </c>
      <c r="BR87" s="11">
        <f>BR$5+SUM(BS$5:BS86)+SUM(R$5:R86)-SUM(S$5:S86)+SUM(BV$5:BV86)</f>
        <v>406777.9965851286</v>
      </c>
      <c r="BS87" s="10">
        <f t="shared" si="101"/>
        <v>-307.7078315993722</v>
      </c>
      <c r="BT87" s="10">
        <f t="shared" si="102"/>
        <v>-2694.904227376477</v>
      </c>
      <c r="BU87" s="10">
        <f>IF(U87&lt;0,PMT(BQ87/12,Podsumowanie!E$8-SUM(AB$5:AB87)+1,BR87),0)</f>
        <v>-3002.6120589758493</v>
      </c>
      <c r="BV87" s="10">
        <f t="shared" si="96"/>
        <v>819.4807442561209</v>
      </c>
      <c r="BX87" s="11">
        <f>BX$5+SUM(BZ$5:BZ86)+SUM(R$5:R86)-SUM(S$5:S86)+SUM(CB$5,CB86)</f>
        <v>384783.95150587946</v>
      </c>
      <c r="BY87" s="10">
        <f t="shared" si="92"/>
        <v>-2549.1936787264517</v>
      </c>
      <c r="BZ87" s="10">
        <f t="shared" si="93"/>
        <v>-1118.5579985636032</v>
      </c>
      <c r="CA87" s="10">
        <f t="shared" si="103"/>
        <v>-3667.751677290055</v>
      </c>
      <c r="CB87" s="10">
        <f t="shared" si="104"/>
        <v>1484.6203625703265</v>
      </c>
      <c r="CD87" s="10">
        <f>CD$5+SUM(CE$5:CE86)+SUM(R$5:R86)-SUM(S$5:S86)-SUM(CF$5:CF86)</f>
        <v>405970.3559180149</v>
      </c>
      <c r="CE87" s="10">
        <f t="shared" si="97"/>
        <v>2549.1936787264517</v>
      </c>
      <c r="CF87" s="10">
        <f t="shared" si="98"/>
        <v>2183.1313147197284</v>
      </c>
      <c r="CG87" s="10">
        <f t="shared" si="99"/>
        <v>-366.0623640067233</v>
      </c>
      <c r="CI87" s="44">
        <v>0.6882</v>
      </c>
      <c r="CJ87" s="10">
        <f t="shared" si="100"/>
        <v>-1502.43</v>
      </c>
      <c r="CK87" s="4">
        <f t="shared" si="105"/>
        <v>0</v>
      </c>
      <c r="CM87" s="10">
        <f t="shared" si="106"/>
        <v>-31438.50444791975</v>
      </c>
      <c r="CN87" s="4">
        <f t="shared" si="107"/>
        <v>-176.5795999824826</v>
      </c>
    </row>
    <row r="88" spans="1:92" ht="15.75">
      <c r="A88" s="36"/>
      <c r="B88" s="37">
        <v>39783</v>
      </c>
      <c r="C88" s="77">
        <f t="shared" si="85"/>
        <v>2.6144</v>
      </c>
      <c r="D88" s="78">
        <f>C88*(1+Podsumowanie!E$11)</f>
        <v>2.692832</v>
      </c>
      <c r="E88" s="34">
        <f t="shared" si="53"/>
        <v>-718.8055032730056</v>
      </c>
      <c r="F88" s="7">
        <f t="shared" si="82"/>
        <v>-1935.6224609896542</v>
      </c>
      <c r="G88" s="7">
        <f t="shared" si="55"/>
        <v>-1585.3873547418953</v>
      </c>
      <c r="H88" s="7">
        <f t="shared" si="83"/>
        <v>350.23510624775895</v>
      </c>
      <c r="I88" s="32"/>
      <c r="J88" s="4" t="str">
        <f t="shared" si="108"/>
        <v xml:space="preserve"> </v>
      </c>
      <c r="K88" s="4">
        <f>IF(B88&lt;Podsumowanie!E$7,0,K87+1)</f>
        <v>18</v>
      </c>
      <c r="L88" s="100">
        <f t="shared" si="86"/>
        <v>0.0127</v>
      </c>
      <c r="M88" s="38">
        <f>L88+Podsumowanie!E$6</f>
        <v>0.0247</v>
      </c>
      <c r="N88" s="101">
        <f>MAX(Podsumowanie!E$4+SUM(AA$5:AA87)-SUM(X$5:X88)+SUM(W$5:W88),0)</f>
        <v>177069.12825505622</v>
      </c>
      <c r="O88" s="102">
        <f>MAX(Podsumowanie!E$2+SUM(V$5:V87)-SUM(S$5:S88)+SUM(R$5:R88),0)</f>
        <v>390541.1903115564</v>
      </c>
      <c r="P88" s="39">
        <f t="shared" si="58"/>
        <v>360</v>
      </c>
      <c r="Q88" s="40" t="str">
        <f>IF(AND(K88&gt;0,K88&lt;=Podsumowanie!E$9),"tak","nie")</f>
        <v>nie</v>
      </c>
      <c r="R88" s="41"/>
      <c r="S88" s="42"/>
      <c r="T88" s="88">
        <f t="shared" si="59"/>
        <v>-803.8639500579535</v>
      </c>
      <c r="U88" s="89">
        <f>IF(Q88="tak",T88,IF(P88-SUM(AB$5:AB88)+1&gt;0,IF(Podsumowanie!E$7&lt;B88,IF(SUM(AB$5:AB88)-Podsumowanie!E$9+1&gt;0,PMT(M88/12,P88+1-SUM(AB$5:AB88),O88),T88),0),0))</f>
        <v>-1585.3873547418953</v>
      </c>
      <c r="V88" s="89">
        <f t="shared" si="84"/>
        <v>-781.5234046839417</v>
      </c>
      <c r="W88" s="90" t="str">
        <f>IF(R88&gt;0,R88/(C88*(1-Podsumowanie!E$11))," ")</f>
        <v xml:space="preserve"> </v>
      </c>
      <c r="X88" s="90">
        <f t="shared" si="94"/>
        <v>0</v>
      </c>
      <c r="Y88" s="91">
        <f t="shared" si="112"/>
        <v>-364.46728899165737</v>
      </c>
      <c r="Z88" s="90">
        <f>IF(P88-SUM(AB$5:AB88)+1&gt;0,IF(Podsumowanie!E$7&lt;B88,IF(SUM(AB$5:AB88)-Podsumowanie!E$9+1&gt;0,PMT(M88/12,P88+1-SUM(AB$5:AB88),N88),Y88),0),0)</f>
        <v>-718.8055032730056</v>
      </c>
      <c r="AA88" s="90">
        <f t="shared" si="80"/>
        <v>-354.3382142813482</v>
      </c>
      <c r="AB88" s="8">
        <f>IF(AND(Podsumowanie!E$7&lt;B88,SUM(AB$5:AB87)&lt;P87),1," ")</f>
        <v>1</v>
      </c>
      <c r="AD88" s="51">
        <f>IF(OR(B88&lt;Podsumowanie!E$12,Podsumowanie!E$12=""),-F88+S88,0)</f>
        <v>1935.6224609896542</v>
      </c>
      <c r="AE88" s="51">
        <f t="shared" si="95"/>
        <v>0</v>
      </c>
      <c r="AG88" s="10">
        <f>Podsumowanie!E$4-SUM(AI$5:AI87)+SUM(W$42:W88)-SUM(X$42:X88)</f>
        <v>173274.9781355522</v>
      </c>
      <c r="AH88" s="10">
        <f t="shared" si="62"/>
        <v>356.66</v>
      </c>
      <c r="AI88" s="10">
        <f t="shared" si="63"/>
        <v>505.17</v>
      </c>
      <c r="AJ88" s="10">
        <f t="shared" si="64"/>
        <v>861.83</v>
      </c>
      <c r="AK88" s="10">
        <f t="shared" si="109"/>
        <v>2320.76</v>
      </c>
      <c r="AL88" s="10">
        <f>Podsumowanie!E$2-SUM(AN$5:AN87)+SUM(R$42:R88)-SUM(S$42:S88)</f>
        <v>382172.64</v>
      </c>
      <c r="AM88" s="10">
        <f t="shared" si="66"/>
        <v>786.64</v>
      </c>
      <c r="AN88" s="10">
        <f t="shared" si="67"/>
        <v>1114.21</v>
      </c>
      <c r="AO88" s="10">
        <f t="shared" si="68"/>
        <v>1900.85</v>
      </c>
      <c r="AP88" s="10">
        <f t="shared" si="69"/>
        <v>419.9100000000003</v>
      </c>
      <c r="AR88" s="43">
        <f t="shared" si="110"/>
        <v>39783</v>
      </c>
      <c r="AS88" s="11">
        <f>AS$5+SUM(AV$5:AV87)-SUM(X$5:X88)+SUM(W$5:W88)</f>
        <v>171757.05440740453</v>
      </c>
      <c r="AT88" s="10">
        <f t="shared" si="71"/>
        <v>-353.53327032190765</v>
      </c>
      <c r="AU88" s="10">
        <f>IF(AB88=1,IF(Q88="tak",AT88,PMT(M88/12,P88+1-SUM(AB$5:AB88),AS88)),0)</f>
        <v>-697.2413381748155</v>
      </c>
      <c r="AV88" s="10">
        <f t="shared" si="72"/>
        <v>-343.70806785290785</v>
      </c>
      <c r="AW88" s="10">
        <f t="shared" si="73"/>
        <v>-1822.8677545242376</v>
      </c>
      <c r="AY88" s="11">
        <f>AY$5+SUM(BA$5:BA87)+SUM(W$5:W87)-SUM(X$5:X87)</f>
        <v>168076.64719148562</v>
      </c>
      <c r="AZ88" s="11">
        <f t="shared" si="74"/>
        <v>-353.53327032190765</v>
      </c>
      <c r="BA88" s="11">
        <f t="shared" si="75"/>
        <v>-490.02</v>
      </c>
      <c r="BB88" s="11">
        <f t="shared" si="76"/>
        <v>-843.5532703219076</v>
      </c>
      <c r="BC88" s="11">
        <f t="shared" si="111"/>
        <v>-2205.385669929595</v>
      </c>
      <c r="BE88" s="172">
        <f t="shared" si="87"/>
        <v>0.0638</v>
      </c>
      <c r="BF88" s="44">
        <f>BE88+Podsumowanie!$E$6</f>
        <v>0.07579999999999999</v>
      </c>
      <c r="BG88" s="11">
        <f>BG$5+SUM(BH$5:BH87)+SUM(R$5:R87)-SUM(S$5:S87)</f>
        <v>394706.563185901</v>
      </c>
      <c r="BH88" s="10">
        <f t="shared" si="81"/>
        <v>-322.7821757364991</v>
      </c>
      <c r="BI88" s="10">
        <f t="shared" si="79"/>
        <v>-2493.229790790941</v>
      </c>
      <c r="BJ88" s="10">
        <f>IF(U88&lt;0,PMT(BF88/12,Podsumowanie!E$8-SUM(AB$5:AB88)+1,BG88),0)</f>
        <v>-2816.01196652744</v>
      </c>
      <c r="BL88" s="11">
        <f>BL$5+SUM(BN$5:BN87)+SUM(R$5:R87)-SUM(S$5:S87)</f>
        <v>382172.7019498607</v>
      </c>
      <c r="BM88" s="11">
        <f t="shared" si="88"/>
        <v>-2414.05756731662</v>
      </c>
      <c r="BN88" s="11">
        <f t="shared" si="89"/>
        <v>-1114.2061281337049</v>
      </c>
      <c r="BO88" s="11">
        <f t="shared" si="90"/>
        <v>-3528.263695450325</v>
      </c>
      <c r="BQ88" s="44">
        <f t="shared" si="91"/>
        <v>0.0759</v>
      </c>
      <c r="BR88" s="11">
        <f>BR$5+SUM(BS$5:BS87)+SUM(R$5:R87)-SUM(S$5:S87)+SUM(BV$5:BV87)</f>
        <v>407289.7694977853</v>
      </c>
      <c r="BS88" s="10">
        <f t="shared" si="101"/>
        <v>-332.4407101802276</v>
      </c>
      <c r="BT88" s="10">
        <f t="shared" si="102"/>
        <v>-2576.107792073492</v>
      </c>
      <c r="BU88" s="10">
        <f>IF(U88&lt;0,PMT(BQ88/12,Podsumowanie!E$8-SUM(AB$5:AB88)+1,BR88),0)</f>
        <v>-2908.5485022537196</v>
      </c>
      <c r="BV88" s="10">
        <f t="shared" si="96"/>
        <v>972.9260412640654</v>
      </c>
      <c r="BX88" s="11">
        <f>BX$5+SUM(BZ$5:BZ87)+SUM(R$5:R87)-SUM(S$5:S87)+SUM(CB$5,CB87)</f>
        <v>383593.5791903191</v>
      </c>
      <c r="BY88" s="10">
        <f t="shared" si="92"/>
        <v>-2426.2293883787684</v>
      </c>
      <c r="BZ88" s="10">
        <f t="shared" si="93"/>
        <v>-1118.3486273770236</v>
      </c>
      <c r="CA88" s="10">
        <f t="shared" si="103"/>
        <v>-3544.578015755792</v>
      </c>
      <c r="CB88" s="10">
        <f t="shared" si="104"/>
        <v>1608.9555547661378</v>
      </c>
      <c r="CD88" s="10">
        <f>CD$5+SUM(CE$5:CE87)+SUM(R$5:R87)-SUM(S$5:S87)-SUM(CF$5:CF87)</f>
        <v>406336.41828202165</v>
      </c>
      <c r="CE88" s="10">
        <f t="shared" si="97"/>
        <v>2426.2293883787684</v>
      </c>
      <c r="CF88" s="10">
        <f t="shared" si="98"/>
        <v>1935.6224609896542</v>
      </c>
      <c r="CG88" s="10">
        <f t="shared" si="99"/>
        <v>-490.60692738911416</v>
      </c>
      <c r="CI88" s="44">
        <v>0.6848</v>
      </c>
      <c r="CJ88" s="10">
        <f t="shared" si="100"/>
        <v>-1325.51</v>
      </c>
      <c r="CK88" s="4">
        <f t="shared" si="105"/>
        <v>0</v>
      </c>
      <c r="CM88" s="10">
        <f t="shared" si="106"/>
        <v>-33374.126908909406</v>
      </c>
      <c r="CN88" s="4">
        <f t="shared" si="107"/>
        <v>-177.43910806570167</v>
      </c>
    </row>
    <row r="89" spans="1:92" ht="15.75">
      <c r="A89" s="36">
        <v>2009</v>
      </c>
      <c r="B89" s="37">
        <v>39814</v>
      </c>
      <c r="C89" s="77">
        <f t="shared" si="85"/>
        <v>2.8272</v>
      </c>
      <c r="D89" s="78">
        <f>C89*(1+Podsumowanie!E$11)</f>
        <v>2.912016</v>
      </c>
      <c r="E89" s="34">
        <f t="shared" si="53"/>
        <v>-665.4937433201673</v>
      </c>
      <c r="F89" s="7">
        <f t="shared" si="82"/>
        <v>-1937.92842844822</v>
      </c>
      <c r="G89" s="7">
        <f t="shared" si="55"/>
        <v>-1467.8036833545543</v>
      </c>
      <c r="H89" s="7">
        <f t="shared" si="83"/>
        <v>470.12474509366575</v>
      </c>
      <c r="I89" s="32"/>
      <c r="J89" s="4" t="str">
        <f t="shared" si="108"/>
        <v xml:space="preserve"> </v>
      </c>
      <c r="K89" s="4">
        <f>IF(B89&lt;Podsumowanie!E$7,0,K88+1)</f>
        <v>19</v>
      </c>
      <c r="L89" s="100">
        <f t="shared" si="86"/>
        <v>0.0067</v>
      </c>
      <c r="M89" s="38">
        <f>L89+Podsumowanie!E$6</f>
        <v>0.0187</v>
      </c>
      <c r="N89" s="101">
        <f>MAX(Podsumowanie!E$4+SUM(AA$5:AA88)-SUM(X$5:X89)+SUM(W$5:W89),0)</f>
        <v>176714.79004077488</v>
      </c>
      <c r="O89" s="102">
        <f>MAX(Podsumowanie!E$2+SUM(V$5:V88)-SUM(S$5:S89)+SUM(R$5:R89),0)</f>
        <v>389759.6669068725</v>
      </c>
      <c r="P89" s="39">
        <f t="shared" si="58"/>
        <v>360</v>
      </c>
      <c r="Q89" s="40" t="str">
        <f>IF(AND(K89&gt;0,K89&lt;=Podsumowanie!E$9),"tak","nie")</f>
        <v>nie</v>
      </c>
      <c r="R89" s="41"/>
      <c r="S89" s="42"/>
      <c r="T89" s="88">
        <f t="shared" si="59"/>
        <v>-607.3754809298763</v>
      </c>
      <c r="U89" s="89">
        <f>IF(Q89="tak",T89,IF(P89-SUM(AB$5:AB89)+1&gt;0,IF(Podsumowanie!E$7&lt;B89,IF(SUM(AB$5:AB89)-Podsumowanie!E$9+1&gt;0,PMT(M89/12,P89+1-SUM(AB$5:AB89),O89),T89),0),0))</f>
        <v>-1467.8036833545543</v>
      </c>
      <c r="V89" s="89">
        <f t="shared" si="84"/>
        <v>-860.428202424678</v>
      </c>
      <c r="W89" s="90" t="str">
        <f>IF(R89&gt;0,R89/(C89*(1-Podsumowanie!E$11))," ")</f>
        <v xml:space="preserve"> </v>
      </c>
      <c r="X89" s="90">
        <f t="shared" si="94"/>
        <v>0</v>
      </c>
      <c r="Y89" s="91">
        <f t="shared" si="112"/>
        <v>-275.3805478135409</v>
      </c>
      <c r="Z89" s="90">
        <f>IF(P89-SUM(AB$5:AB89)+1&gt;0,IF(Podsumowanie!E$7&lt;B89,IF(SUM(AB$5:AB89)-Podsumowanie!E$9+1&gt;0,PMT(M89/12,P89+1-SUM(AB$5:AB89),N89),Y89),0),0)</f>
        <v>-665.4937433201673</v>
      </c>
      <c r="AA89" s="90">
        <f t="shared" si="80"/>
        <v>-390.11319550662637</v>
      </c>
      <c r="AB89" s="8">
        <f>IF(AND(Podsumowanie!E$7&lt;B89,SUM(AB$5:AB88)&lt;P88),1," ")</f>
        <v>1</v>
      </c>
      <c r="AD89" s="51">
        <f>IF(OR(B89&lt;Podsumowanie!E$12,Podsumowanie!E$12=""),-F89+S89,0)</f>
        <v>1937.92842844822</v>
      </c>
      <c r="AE89" s="51">
        <f t="shared" si="95"/>
        <v>0</v>
      </c>
      <c r="AG89" s="10">
        <f>Podsumowanie!E$4-SUM(AI$5:AI88)+SUM(W$42:W89)-SUM(X$42:X89)</f>
        <v>172769.80813555222</v>
      </c>
      <c r="AH89" s="10">
        <f t="shared" si="62"/>
        <v>269.23</v>
      </c>
      <c r="AI89" s="10">
        <f t="shared" si="63"/>
        <v>505.17</v>
      </c>
      <c r="AJ89" s="10">
        <f t="shared" si="64"/>
        <v>774.4000000000001</v>
      </c>
      <c r="AK89" s="10">
        <f t="shared" si="109"/>
        <v>2255.07</v>
      </c>
      <c r="AL89" s="10">
        <f>Podsumowanie!E$2-SUM(AN$5:AN88)+SUM(R$42:R89)-SUM(S$42:S89)</f>
        <v>381058.43</v>
      </c>
      <c r="AM89" s="10">
        <f t="shared" si="66"/>
        <v>593.82</v>
      </c>
      <c r="AN89" s="10">
        <f t="shared" si="67"/>
        <v>1114.21</v>
      </c>
      <c r="AO89" s="10">
        <f t="shared" si="68"/>
        <v>1708.0300000000002</v>
      </c>
      <c r="AP89" s="10">
        <f t="shared" si="69"/>
        <v>547.04</v>
      </c>
      <c r="AR89" s="43">
        <f t="shared" si="110"/>
        <v>39814</v>
      </c>
      <c r="AS89" s="11">
        <f>AS$5+SUM(AV$5:AV88)-SUM(X$5:X89)+SUM(W$5:W89)</f>
        <v>171413.34633955162</v>
      </c>
      <c r="AT89" s="10">
        <f t="shared" si="71"/>
        <v>-267.1191313791346</v>
      </c>
      <c r="AU89" s="10">
        <f>IF(AB89=1,IF(Q89="tak",AT89,PMT(M89/12,P89+1-SUM(AB$5:AB89),AS89)),0)</f>
        <v>-645.5289310205623</v>
      </c>
      <c r="AV89" s="10">
        <f t="shared" si="72"/>
        <v>-378.40979964142764</v>
      </c>
      <c r="AW89" s="10">
        <f t="shared" si="73"/>
        <v>-1825.0393937813335</v>
      </c>
      <c r="AY89" s="11">
        <f>AY$5+SUM(BA$5:BA88)+SUM(W$5:W88)-SUM(X$5:X88)</f>
        <v>167586.62719148563</v>
      </c>
      <c r="AZ89" s="11">
        <f t="shared" si="74"/>
        <v>-267.1191313791346</v>
      </c>
      <c r="BA89" s="11">
        <f t="shared" si="75"/>
        <v>-490.02</v>
      </c>
      <c r="BB89" s="11">
        <f t="shared" si="76"/>
        <v>-757.1391313791346</v>
      </c>
      <c r="BC89" s="11">
        <f t="shared" si="111"/>
        <v>-2140.5837522350894</v>
      </c>
      <c r="BE89" s="172">
        <f t="shared" si="87"/>
        <v>0.0551</v>
      </c>
      <c r="BF89" s="44">
        <f>BE89+Podsumowanie!$E$6</f>
        <v>0.0671</v>
      </c>
      <c r="BG89" s="11">
        <f>BG$5+SUM(BH$5:BH88)+SUM(R$5:R88)-SUM(S$5:S88)</f>
        <v>394383.7810101645</v>
      </c>
      <c r="BH89" s="10">
        <f t="shared" si="81"/>
        <v>-382.15051410495107</v>
      </c>
      <c r="BI89" s="10">
        <f t="shared" si="79"/>
        <v>-2205.2626421485033</v>
      </c>
      <c r="BJ89" s="10">
        <f>IF(U89&lt;0,PMT(BF89/12,Podsumowanie!E$8-SUM(AB$5:AB89)+1,BG89),0)</f>
        <v>-2587.4131562534544</v>
      </c>
      <c r="BL89" s="11">
        <f>BL$5+SUM(BN$5:BN88)+SUM(R$5:R88)-SUM(S$5:S88)</f>
        <v>381058.49582172703</v>
      </c>
      <c r="BM89" s="11">
        <f t="shared" si="88"/>
        <v>-2130.7520891364907</v>
      </c>
      <c r="BN89" s="11">
        <f t="shared" si="89"/>
        <v>-1114.2061281337049</v>
      </c>
      <c r="BO89" s="11">
        <f t="shared" si="90"/>
        <v>-3244.9582172701957</v>
      </c>
      <c r="BQ89" s="44">
        <f t="shared" si="91"/>
        <v>0.06720000000000001</v>
      </c>
      <c r="BR89" s="11">
        <f>BR$5+SUM(BS$5:BS88)+SUM(R$5:R88)-SUM(S$5:S88)+SUM(BV$5:BV88)</f>
        <v>407930.25482886913</v>
      </c>
      <c r="BS89" s="10">
        <f t="shared" si="101"/>
        <v>-394.5481931092636</v>
      </c>
      <c r="BT89" s="10">
        <f t="shared" si="102"/>
        <v>-2284.4094270416676</v>
      </c>
      <c r="BU89" s="10">
        <f>IF(U89&lt;0,PMT(BQ89/12,Podsumowanie!E$8-SUM(AB$5:AB89)+1,BR89),0)</f>
        <v>-2678.9576201509312</v>
      </c>
      <c r="BV89" s="10">
        <f t="shared" si="96"/>
        <v>741.0291917027112</v>
      </c>
      <c r="BX89" s="11">
        <f>BX$5+SUM(BZ$5:BZ88)+SUM(R$5:R88)-SUM(S$5:S88)+SUM(CB$5,CB88)</f>
        <v>382599.5657551378</v>
      </c>
      <c r="BY89" s="10">
        <f t="shared" si="92"/>
        <v>-2142.557568228772</v>
      </c>
      <c r="BZ89" s="10">
        <f t="shared" si="93"/>
        <v>-1118.7121805705785</v>
      </c>
      <c r="CA89" s="10">
        <f t="shared" si="103"/>
        <v>-3261.269748799351</v>
      </c>
      <c r="CB89" s="10">
        <f t="shared" si="104"/>
        <v>1323.341320351131</v>
      </c>
      <c r="CD89" s="10">
        <f>CD$5+SUM(CE$5:CE88)+SUM(R$5:R88)-SUM(S$5:S88)-SUM(CF$5:CF88)</f>
        <v>406827.0252094107</v>
      </c>
      <c r="CE89" s="10">
        <f t="shared" si="97"/>
        <v>2142.557568228772</v>
      </c>
      <c r="CF89" s="10">
        <f t="shared" si="98"/>
        <v>1937.92842844822</v>
      </c>
      <c r="CG89" s="10">
        <f t="shared" si="99"/>
        <v>-204.62913978055212</v>
      </c>
      <c r="CI89" s="44">
        <v>0.6865</v>
      </c>
      <c r="CJ89" s="10">
        <f t="shared" si="100"/>
        <v>-1330.39</v>
      </c>
      <c r="CK89" s="4">
        <f t="shared" si="105"/>
        <v>0</v>
      </c>
      <c r="CM89" s="10">
        <f t="shared" si="106"/>
        <v>-35312.055337357626</v>
      </c>
      <c r="CN89" s="4">
        <f t="shared" si="107"/>
        <v>-162.14118742403377</v>
      </c>
    </row>
    <row r="90" spans="1:92" ht="15.75">
      <c r="A90" s="36"/>
      <c r="B90" s="37">
        <v>39845</v>
      </c>
      <c r="C90" s="77">
        <f t="shared" si="85"/>
        <v>3.1131</v>
      </c>
      <c r="D90" s="78">
        <f>C90*(1+Podsumowanie!E$11)</f>
        <v>3.2064930000000005</v>
      </c>
      <c r="E90" s="34">
        <f t="shared" si="53"/>
        <v>-653.4364808381843</v>
      </c>
      <c r="F90" s="7">
        <f t="shared" si="82"/>
        <v>-2095.239501752272</v>
      </c>
      <c r="G90" s="7">
        <f t="shared" si="55"/>
        <v>-1441.2103540259673</v>
      </c>
      <c r="H90" s="7">
        <f t="shared" si="83"/>
        <v>654.0291477263049</v>
      </c>
      <c r="I90" s="32"/>
      <c r="J90" s="4" t="str">
        <f t="shared" si="108"/>
        <v xml:space="preserve"> </v>
      </c>
      <c r="K90" s="4">
        <f>IF(B90&lt;Podsumowanie!E$7,0,K89+1)</f>
        <v>20</v>
      </c>
      <c r="L90" s="100">
        <f t="shared" si="86"/>
        <v>0.0053</v>
      </c>
      <c r="M90" s="38">
        <f>L90+Podsumowanie!E$6</f>
        <v>0.0173</v>
      </c>
      <c r="N90" s="101">
        <f>MAX(Podsumowanie!E$4+SUM(AA$5:AA89)-SUM(X$5:X90)+SUM(W$5:W90),0)</f>
        <v>176324.67684526826</v>
      </c>
      <c r="O90" s="102">
        <f>MAX(Podsumowanie!E$2+SUM(V$5:V89)-SUM(S$5:S90)+SUM(R$5:R90),0)</f>
        <v>388899.2387044478</v>
      </c>
      <c r="P90" s="39">
        <f t="shared" si="58"/>
        <v>360</v>
      </c>
      <c r="Q90" s="40" t="str">
        <f>IF(AND(K90&gt;0,K90&lt;=Podsumowanie!E$9),"tak","nie")</f>
        <v>nie</v>
      </c>
      <c r="R90" s="41"/>
      <c r="S90" s="42"/>
      <c r="T90" s="88">
        <f t="shared" si="59"/>
        <v>-560.6630691322456</v>
      </c>
      <c r="U90" s="89">
        <f>IF(Q90="tak",T90,IF(P90-SUM(AB$5:AB90)+1&gt;0,IF(Podsumowanie!E$7&lt;B90,IF(SUM(AB$5:AB90)-Podsumowanie!E$9+1&gt;0,PMT(M90/12,P90+1-SUM(AB$5:AB90),O90),T90),0),0))</f>
        <v>-1441.2103540259673</v>
      </c>
      <c r="V90" s="89">
        <f t="shared" si="84"/>
        <v>-880.5472848937217</v>
      </c>
      <c r="W90" s="90" t="str">
        <f>IF(R90&gt;0,R90/(C90*(1-Podsumowanie!E$11))," ")</f>
        <v xml:space="preserve"> </v>
      </c>
      <c r="X90" s="90">
        <f t="shared" si="94"/>
        <v>0</v>
      </c>
      <c r="Y90" s="91">
        <f t="shared" si="112"/>
        <v>-254.20140911859505</v>
      </c>
      <c r="Z90" s="90">
        <f>IF(P90-SUM(AB$5:AB90)+1&gt;0,IF(Podsumowanie!E$7&lt;B90,IF(SUM(AB$5:AB90)-Podsumowanie!E$9+1&gt;0,PMT(M90/12,P90+1-SUM(AB$5:AB90),N90),Y90),0),0)</f>
        <v>-653.4364808381843</v>
      </c>
      <c r="AA90" s="90">
        <f t="shared" si="80"/>
        <v>-399.2350717195892</v>
      </c>
      <c r="AB90" s="8">
        <f>IF(AND(Podsumowanie!E$7&lt;B90,SUM(AB$5:AB89)&lt;P89),1," ")</f>
        <v>1</v>
      </c>
      <c r="AD90" s="51">
        <f>IF(OR(B90&lt;Podsumowanie!E$12,Podsumowanie!E$12=""),-F90+S90,0)</f>
        <v>2095.239501752272</v>
      </c>
      <c r="AE90" s="51">
        <f t="shared" si="95"/>
        <v>0</v>
      </c>
      <c r="AG90" s="10">
        <f>Podsumowanie!E$4-SUM(AI$5:AI89)+SUM(W$42:W90)-SUM(X$42:X90)</f>
        <v>172264.6381355522</v>
      </c>
      <c r="AH90" s="10">
        <f t="shared" si="62"/>
        <v>248.35</v>
      </c>
      <c r="AI90" s="10">
        <f t="shared" si="63"/>
        <v>505.17</v>
      </c>
      <c r="AJ90" s="10">
        <f t="shared" si="64"/>
        <v>753.52</v>
      </c>
      <c r="AK90" s="10">
        <f t="shared" si="109"/>
        <v>2416.16</v>
      </c>
      <c r="AL90" s="10">
        <f>Podsumowanie!E$2-SUM(AN$5:AN89)+SUM(R$42:R90)-SUM(S$42:S90)</f>
        <v>379944.22000000003</v>
      </c>
      <c r="AM90" s="10">
        <f t="shared" si="66"/>
        <v>547.75</v>
      </c>
      <c r="AN90" s="10">
        <f t="shared" si="67"/>
        <v>1114.21</v>
      </c>
      <c r="AO90" s="10">
        <f t="shared" si="68"/>
        <v>1661.96</v>
      </c>
      <c r="AP90" s="10">
        <f t="shared" si="69"/>
        <v>754.1999999999998</v>
      </c>
      <c r="AR90" s="43">
        <f t="shared" si="110"/>
        <v>39845</v>
      </c>
      <c r="AS90" s="11">
        <f>AS$5+SUM(AV$5:AV89)-SUM(X$5:X90)+SUM(W$5:W90)</f>
        <v>171034.9365399102</v>
      </c>
      <c r="AT90" s="10">
        <f t="shared" si="71"/>
        <v>-246.57536684503722</v>
      </c>
      <c r="AU90" s="10">
        <f>IF(AB90=1,IF(Q90="tak",AT90,PMT(M90/12,P90+1-SUM(AB$5:AB90),AS90)),0)</f>
        <v>-633.8333864130387</v>
      </c>
      <c r="AV90" s="10">
        <f t="shared" si="72"/>
        <v>-387.2580195680015</v>
      </c>
      <c r="AW90" s="10">
        <f t="shared" si="73"/>
        <v>-1973.186715242431</v>
      </c>
      <c r="AY90" s="11">
        <f>AY$5+SUM(BA$5:BA89)+SUM(W$5:W89)-SUM(X$5:X89)</f>
        <v>167096.60719148561</v>
      </c>
      <c r="AZ90" s="11">
        <f t="shared" si="74"/>
        <v>-246.57536684503722</v>
      </c>
      <c r="BA90" s="11">
        <f t="shared" si="75"/>
        <v>-490.02</v>
      </c>
      <c r="BB90" s="11">
        <f t="shared" si="76"/>
        <v>-736.5953668450372</v>
      </c>
      <c r="BC90" s="11">
        <f t="shared" si="111"/>
        <v>-2293.0950365252856</v>
      </c>
      <c r="BE90" s="172">
        <f t="shared" si="87"/>
        <v>0.0469</v>
      </c>
      <c r="BF90" s="44">
        <f>BE90+Podsumowanie!$E$6</f>
        <v>0.058899999999999994</v>
      </c>
      <c r="BG90" s="11">
        <f>BG$5+SUM(BH$5:BH89)+SUM(R$5:R89)-SUM(S$5:S89)</f>
        <v>394001.63049605954</v>
      </c>
      <c r="BH90" s="10">
        <f t="shared" si="81"/>
        <v>-445.9711379800415</v>
      </c>
      <c r="BI90" s="10">
        <f t="shared" si="79"/>
        <v>-1933.891336351492</v>
      </c>
      <c r="BJ90" s="10">
        <f>IF(U90&lt;0,PMT(BF90/12,Podsumowanie!E$8-SUM(AB$5:AB90)+1,BG90),0)</f>
        <v>-2379.8624743315336</v>
      </c>
      <c r="BL90" s="11">
        <f>BL$5+SUM(BN$5:BN89)+SUM(R$5:R89)-SUM(S$5:S89)</f>
        <v>379944.28969359334</v>
      </c>
      <c r="BM90" s="11">
        <f t="shared" si="88"/>
        <v>-1864.8932219127203</v>
      </c>
      <c r="BN90" s="11">
        <f t="shared" si="89"/>
        <v>-1114.2061281337049</v>
      </c>
      <c r="BO90" s="11">
        <f t="shared" si="90"/>
        <v>-2979.099350046425</v>
      </c>
      <c r="BQ90" s="44">
        <f t="shared" si="91"/>
        <v>0.059</v>
      </c>
      <c r="BR90" s="11">
        <f>BR$5+SUM(BS$5:BS89)+SUM(R$5:R89)-SUM(S$5:S89)+SUM(BV$5:BV89)</f>
        <v>408276.7358274626</v>
      </c>
      <c r="BS90" s="10">
        <f t="shared" si="101"/>
        <v>-461.3014863220735</v>
      </c>
      <c r="BT90" s="10">
        <f t="shared" si="102"/>
        <v>-2007.3606178183575</v>
      </c>
      <c r="BU90" s="10">
        <f>IF(U90&lt;0,PMT(BQ90/12,Podsumowanie!E$8-SUM(AB$5:AB90)+1,BR90),0)</f>
        <v>-2468.662104140431</v>
      </c>
      <c r="BV90" s="10">
        <f t="shared" si="96"/>
        <v>373.4226023881588</v>
      </c>
      <c r="BX90" s="11">
        <f>BX$5+SUM(BZ$5:BZ89)+SUM(R$5:R89)-SUM(S$5:S89)+SUM(CB$5,CB89)</f>
        <v>381195.23934015224</v>
      </c>
      <c r="BY90" s="10">
        <f t="shared" si="92"/>
        <v>-1874.2099267557485</v>
      </c>
      <c r="BZ90" s="10">
        <f t="shared" si="93"/>
        <v>-1117.8746021705344</v>
      </c>
      <c r="CA90" s="10">
        <f t="shared" si="103"/>
        <v>-2992.084528926283</v>
      </c>
      <c r="CB90" s="10">
        <f t="shared" si="104"/>
        <v>896.8450271740107</v>
      </c>
      <c r="CD90" s="10">
        <f>CD$5+SUM(CE$5:CE89)+SUM(R$5:R89)-SUM(S$5:S89)-SUM(CF$5:CF89)</f>
        <v>407031.6543491913</v>
      </c>
      <c r="CE90" s="10">
        <f t="shared" si="97"/>
        <v>1874.2099267557485</v>
      </c>
      <c r="CF90" s="10">
        <f t="shared" si="98"/>
        <v>2095.239501752272</v>
      </c>
      <c r="CG90" s="10">
        <f t="shared" si="99"/>
        <v>221.0295749965237</v>
      </c>
      <c r="CI90" s="44">
        <v>0.6781</v>
      </c>
      <c r="CJ90" s="10">
        <f t="shared" si="100"/>
        <v>-1420.78</v>
      </c>
      <c r="CK90" s="4">
        <f t="shared" si="105"/>
        <v>0</v>
      </c>
      <c r="CM90" s="10">
        <f t="shared" si="106"/>
        <v>-37407.2948391099</v>
      </c>
      <c r="CN90" s="4">
        <f t="shared" si="107"/>
        <v>-146.20017732952118</v>
      </c>
    </row>
    <row r="91" spans="1:92" ht="15.75">
      <c r="A91" s="36"/>
      <c r="B91" s="37">
        <v>39873</v>
      </c>
      <c r="C91" s="77">
        <f t="shared" si="85"/>
        <v>3.0687</v>
      </c>
      <c r="D91" s="78">
        <f>C91*(1+Podsumowanie!E$11)</f>
        <v>3.1607610000000004</v>
      </c>
      <c r="E91" s="34">
        <f t="shared" si="53"/>
        <v>-653.4364808381841</v>
      </c>
      <c r="F91" s="7">
        <f t="shared" si="82"/>
        <v>-2065.35654461058</v>
      </c>
      <c r="G91" s="7">
        <f t="shared" si="55"/>
        <v>-1441.2103540259673</v>
      </c>
      <c r="H91" s="7">
        <f t="shared" si="83"/>
        <v>624.1461905846127</v>
      </c>
      <c r="I91" s="32"/>
      <c r="J91" s="4" t="str">
        <f t="shared" si="108"/>
        <v xml:space="preserve"> </v>
      </c>
      <c r="K91" s="4">
        <f>IF(B91&lt;Podsumowanie!E$7,0,K90+1)</f>
        <v>21</v>
      </c>
      <c r="L91" s="100">
        <f t="shared" si="86"/>
        <v>0.0053</v>
      </c>
      <c r="M91" s="38">
        <f>L91+Podsumowanie!E$6</f>
        <v>0.0173</v>
      </c>
      <c r="N91" s="101">
        <f>MAX(Podsumowanie!E$4+SUM(AA$5:AA90)-SUM(X$5:X91)+SUM(W$5:W91),0)</f>
        <v>175925.44177354866</v>
      </c>
      <c r="O91" s="102">
        <f>MAX(Podsumowanie!E$2+SUM(V$5:V90)-SUM(S$5:S91)+SUM(R$5:R91),0)</f>
        <v>388018.69141955406</v>
      </c>
      <c r="P91" s="39">
        <f t="shared" si="58"/>
        <v>360</v>
      </c>
      <c r="Q91" s="40" t="str">
        <f>IF(AND(K91&gt;0,K91&lt;=Podsumowanie!E$9),"tak","nie")</f>
        <v>nie</v>
      </c>
      <c r="R91" s="41"/>
      <c r="S91" s="42"/>
      <c r="T91" s="88">
        <f t="shared" si="59"/>
        <v>-559.3936134631905</v>
      </c>
      <c r="U91" s="89">
        <f>IF(Q91="tak",T91,IF(P91-SUM(AB$5:AB91)+1&gt;0,IF(Podsumowanie!E$7&lt;B91,IF(SUM(AB$5:AB91)-Podsumowanie!E$9+1&gt;0,PMT(M91/12,P91+1-SUM(AB$5:AB91),O91),T91),0),0))</f>
        <v>-1441.2103540259673</v>
      </c>
      <c r="V91" s="89">
        <f t="shared" si="84"/>
        <v>-881.8167405627768</v>
      </c>
      <c r="W91" s="90" t="str">
        <f>IF(R91&gt;0,R91/(C91*(1-Podsumowanie!E$11))," ")</f>
        <v xml:space="preserve"> </v>
      </c>
      <c r="X91" s="90">
        <f t="shared" si="94"/>
        <v>0</v>
      </c>
      <c r="Y91" s="91">
        <f t="shared" si="112"/>
        <v>-253.62584522353265</v>
      </c>
      <c r="Z91" s="90">
        <f>IF(P91-SUM(AB$5:AB91)+1&gt;0,IF(Podsumowanie!E$7&lt;B91,IF(SUM(AB$5:AB91)-Podsumowanie!E$9+1&gt;0,PMT(M91/12,P91+1-SUM(AB$5:AB91),N91),Y91),0),0)</f>
        <v>-653.4364808381841</v>
      </c>
      <c r="AA91" s="90">
        <f t="shared" si="80"/>
        <v>-399.81063561465146</v>
      </c>
      <c r="AB91" s="8">
        <f>IF(AND(Podsumowanie!E$7&lt;B91,SUM(AB$5:AB90)&lt;P90),1," ")</f>
        <v>1</v>
      </c>
      <c r="AD91" s="51">
        <f>IF(OR(B91&lt;Podsumowanie!E$12,Podsumowanie!E$12=""),-F91+S91,0)</f>
        <v>2065.35654461058</v>
      </c>
      <c r="AE91" s="51">
        <f t="shared" si="95"/>
        <v>0</v>
      </c>
      <c r="AG91" s="10">
        <f>Podsumowanie!E$4-SUM(AI$5:AI90)+SUM(W$42:W91)-SUM(X$42:X91)</f>
        <v>171759.4681355522</v>
      </c>
      <c r="AH91" s="10">
        <f t="shared" si="62"/>
        <v>247.62</v>
      </c>
      <c r="AI91" s="10">
        <f t="shared" si="63"/>
        <v>505.17</v>
      </c>
      <c r="AJ91" s="10">
        <f t="shared" si="64"/>
        <v>752.79</v>
      </c>
      <c r="AK91" s="10">
        <f t="shared" si="109"/>
        <v>2379.39</v>
      </c>
      <c r="AL91" s="10">
        <f>Podsumowanie!E$2-SUM(AN$5:AN90)+SUM(R$42:R91)-SUM(S$42:S91)</f>
        <v>378830.01</v>
      </c>
      <c r="AM91" s="10">
        <f t="shared" si="66"/>
        <v>546.15</v>
      </c>
      <c r="AN91" s="10">
        <f t="shared" si="67"/>
        <v>1114.21</v>
      </c>
      <c r="AO91" s="10">
        <f t="shared" si="68"/>
        <v>1660.3600000000001</v>
      </c>
      <c r="AP91" s="10">
        <f t="shared" si="69"/>
        <v>719.0299999999997</v>
      </c>
      <c r="AR91" s="43">
        <f t="shared" si="110"/>
        <v>39873</v>
      </c>
      <c r="AS91" s="11">
        <f>AS$5+SUM(AV$5:AV90)-SUM(X$5:X91)+SUM(W$5:W91)</f>
        <v>170647.6785203422</v>
      </c>
      <c r="AT91" s="10">
        <f t="shared" si="71"/>
        <v>-246.01706986682666</v>
      </c>
      <c r="AU91" s="10">
        <f>IF(AB91=1,IF(Q91="tak",AT91,PMT(M91/12,P91+1-SUM(AB$5:AB91),AS91)),0)</f>
        <v>-633.8333864130386</v>
      </c>
      <c r="AV91" s="10">
        <f t="shared" si="72"/>
        <v>-387.81631654621197</v>
      </c>
      <c r="AW91" s="10">
        <f t="shared" si="73"/>
        <v>-1945.0445128856918</v>
      </c>
      <c r="AY91" s="11">
        <f>AY$5+SUM(BA$5:BA90)+SUM(W$5:W90)-SUM(X$5:X90)</f>
        <v>166606.58719148563</v>
      </c>
      <c r="AZ91" s="11">
        <f t="shared" si="74"/>
        <v>-246.01706986682666</v>
      </c>
      <c r="BA91" s="11">
        <f t="shared" si="75"/>
        <v>-490.02</v>
      </c>
      <c r="BB91" s="11">
        <f t="shared" si="76"/>
        <v>-736.0370698668266</v>
      </c>
      <c r="BC91" s="11">
        <f t="shared" si="111"/>
        <v>-2258.676956300331</v>
      </c>
      <c r="BE91" s="172">
        <f t="shared" si="87"/>
        <v>0.043</v>
      </c>
      <c r="BF91" s="44">
        <f>BE91+Podsumowanie!$E$6</f>
        <v>0.05499999999999999</v>
      </c>
      <c r="BG91" s="11">
        <f>BG$5+SUM(BH$5:BH90)+SUM(R$5:R90)-SUM(S$5:S90)</f>
        <v>393555.6593580795</v>
      </c>
      <c r="BH91" s="10">
        <f t="shared" si="81"/>
        <v>-480.28123264590954</v>
      </c>
      <c r="BI91" s="10">
        <f t="shared" si="79"/>
        <v>-1803.7967720578642</v>
      </c>
      <c r="BJ91" s="10">
        <f>IF(U91&lt;0,PMT(BF91/12,Podsumowanie!E$8-SUM(AB$5:AB91)+1,BG91),0)</f>
        <v>-2284.078004703774</v>
      </c>
      <c r="BL91" s="11">
        <f>BL$5+SUM(BN$5:BN90)+SUM(R$5:R90)-SUM(S$5:S90)</f>
        <v>378830.0835654596</v>
      </c>
      <c r="BM91" s="11">
        <f t="shared" si="88"/>
        <v>-1736.3045496750228</v>
      </c>
      <c r="BN91" s="11">
        <f t="shared" si="89"/>
        <v>-1114.2061281337046</v>
      </c>
      <c r="BO91" s="11">
        <f t="shared" si="90"/>
        <v>-2850.5106778087275</v>
      </c>
      <c r="BQ91" s="44">
        <f t="shared" si="91"/>
        <v>0.055099999999999996</v>
      </c>
      <c r="BR91" s="11">
        <f>BR$5+SUM(BS$5:BS90)+SUM(R$5:R90)-SUM(S$5:S90)+SUM(BV$5:BV90)</f>
        <v>408188.8569435287</v>
      </c>
      <c r="BS91" s="10">
        <f t="shared" si="101"/>
        <v>-497.261128742849</v>
      </c>
      <c r="BT91" s="10">
        <f t="shared" si="102"/>
        <v>-1874.267168132369</v>
      </c>
      <c r="BU91" s="10">
        <f>IF(U91&lt;0,PMT(BQ91/12,Podsumowanie!E$8-SUM(AB$5:AB91)+1,BR91),0)</f>
        <v>-2371.528296875218</v>
      </c>
      <c r="BV91" s="10">
        <f t="shared" si="96"/>
        <v>306.17175226463814</v>
      </c>
      <c r="BX91" s="11">
        <f>BX$5+SUM(BZ$5:BZ90)+SUM(R$5:R90)-SUM(S$5:S90)+SUM(CB$5,CB90)</f>
        <v>379650.8684448046</v>
      </c>
      <c r="BY91" s="10">
        <f t="shared" si="92"/>
        <v>-1743.230237609061</v>
      </c>
      <c r="BZ91" s="10">
        <f t="shared" si="93"/>
        <v>-1116.6202013082489</v>
      </c>
      <c r="CA91" s="10">
        <f t="shared" si="103"/>
        <v>-2859.85043891731</v>
      </c>
      <c r="CB91" s="10">
        <f t="shared" si="104"/>
        <v>794.49389430673</v>
      </c>
      <c r="CD91" s="10">
        <f>CD$5+SUM(CE$5:CE90)+SUM(R$5:R90)-SUM(S$5:S90)-SUM(CF$5:CF90)</f>
        <v>406810.6247741948</v>
      </c>
      <c r="CE91" s="10">
        <f t="shared" si="97"/>
        <v>1743.230237609061</v>
      </c>
      <c r="CF91" s="10">
        <f t="shared" si="98"/>
        <v>2065.35654461058</v>
      </c>
      <c r="CG91" s="10">
        <f t="shared" si="99"/>
        <v>322.12630700151885</v>
      </c>
      <c r="CI91" s="44">
        <v>0.6631</v>
      </c>
      <c r="CJ91" s="10">
        <f t="shared" si="100"/>
        <v>-1369.54</v>
      </c>
      <c r="CK91" s="4">
        <f t="shared" si="105"/>
        <v>0</v>
      </c>
      <c r="CM91" s="10">
        <f t="shared" si="106"/>
        <v>-39472.65138372048</v>
      </c>
      <c r="CN91" s="4">
        <f t="shared" si="107"/>
        <v>-141.4436674583317</v>
      </c>
    </row>
    <row r="92" spans="1:92" ht="15.75">
      <c r="A92" s="36"/>
      <c r="B92" s="37">
        <v>39904</v>
      </c>
      <c r="C92" s="77">
        <f t="shared" si="85"/>
        <v>2.9129</v>
      </c>
      <c r="D92" s="78">
        <f>C92*(1+Podsumowanie!E$11)</f>
        <v>3.000287</v>
      </c>
      <c r="E92" s="34">
        <f t="shared" si="53"/>
        <v>-642.4183616215554</v>
      </c>
      <c r="F92" s="7">
        <f t="shared" si="82"/>
        <v>-1927.4394589344517</v>
      </c>
      <c r="G92" s="7">
        <f t="shared" si="55"/>
        <v>-1416.9089445354396</v>
      </c>
      <c r="H92" s="7">
        <f t="shared" si="83"/>
        <v>510.5305143990122</v>
      </c>
      <c r="I92" s="32"/>
      <c r="J92" s="4" t="str">
        <f t="shared" si="108"/>
        <v xml:space="preserve"> </v>
      </c>
      <c r="K92" s="4">
        <f>IF(B92&lt;Podsumowanie!E$7,0,K91+1)</f>
        <v>22</v>
      </c>
      <c r="L92" s="100">
        <f t="shared" si="86"/>
        <v>0.004</v>
      </c>
      <c r="M92" s="38">
        <f>L92+Podsumowanie!E$6</f>
        <v>0.016</v>
      </c>
      <c r="N92" s="101">
        <f>MAX(Podsumowanie!E$4+SUM(AA$5:AA91)-SUM(X$5:X92)+SUM(W$5:W92),0)</f>
        <v>175525.63113793402</v>
      </c>
      <c r="O92" s="102">
        <f>MAX(Podsumowanie!E$2+SUM(V$5:V91)-SUM(S$5:S92)+SUM(R$5:R92),0)</f>
        <v>387136.87467899127</v>
      </c>
      <c r="P92" s="39">
        <f t="shared" si="58"/>
        <v>360</v>
      </c>
      <c r="Q92" s="40" t="str">
        <f>IF(AND(K92&gt;0,K92&lt;=Podsumowanie!E$9),"tak","nie")</f>
        <v>nie</v>
      </c>
      <c r="R92" s="41"/>
      <c r="S92" s="42"/>
      <c r="T92" s="88">
        <f t="shared" si="59"/>
        <v>-516.1824995719884</v>
      </c>
      <c r="U92" s="89">
        <f>IF(Q92="tak",T92,IF(P92-SUM(AB$5:AB92)+1&gt;0,IF(Podsumowanie!E$7&lt;B92,IF(SUM(AB$5:AB92)-Podsumowanie!E$9+1&gt;0,PMT(M92/12,P92+1-SUM(AB$5:AB92),O92),T92),0),0))</f>
        <v>-1416.9089445354396</v>
      </c>
      <c r="V92" s="89">
        <f t="shared" si="84"/>
        <v>-900.7264449634512</v>
      </c>
      <c r="W92" s="90" t="str">
        <f>IF(R92&gt;0,R92/(C92*(1-Podsumowanie!E$11))," ")</f>
        <v xml:space="preserve"> </v>
      </c>
      <c r="X92" s="90">
        <f t="shared" si="94"/>
        <v>0</v>
      </c>
      <c r="Y92" s="91">
        <f t="shared" si="112"/>
        <v>-234.0341748505787</v>
      </c>
      <c r="Z92" s="90">
        <f>IF(P92-SUM(AB$5:AB92)+1&gt;0,IF(Podsumowanie!E$7&lt;B92,IF(SUM(AB$5:AB92)-Podsumowanie!E$9+1&gt;0,PMT(M92/12,P92+1-SUM(AB$5:AB92),N92),Y92),0),0)</f>
        <v>-642.4183616215554</v>
      </c>
      <c r="AA92" s="90">
        <f t="shared" si="80"/>
        <v>-408.3841867709767</v>
      </c>
      <c r="AB92" s="8">
        <f>IF(AND(Podsumowanie!E$7&lt;B92,SUM(AB$5:AB91)&lt;P91),1," ")</f>
        <v>1</v>
      </c>
      <c r="AD92" s="51">
        <f>IF(OR(B92&lt;Podsumowanie!E$12,Podsumowanie!E$12=""),-F92+S92,0)</f>
        <v>1927.4394589344517</v>
      </c>
      <c r="AE92" s="51">
        <f t="shared" si="95"/>
        <v>0</v>
      </c>
      <c r="AG92" s="10">
        <f>Podsumowanie!E$4-SUM(AI$5:AI91)+SUM(W$42:W92)-SUM(X$42:X92)</f>
        <v>171254.2981355522</v>
      </c>
      <c r="AH92" s="10">
        <f t="shared" si="62"/>
        <v>228.34</v>
      </c>
      <c r="AI92" s="10">
        <f t="shared" si="63"/>
        <v>505.17</v>
      </c>
      <c r="AJ92" s="10">
        <f t="shared" si="64"/>
        <v>733.51</v>
      </c>
      <c r="AK92" s="10">
        <f t="shared" si="109"/>
        <v>2200.74</v>
      </c>
      <c r="AL92" s="10">
        <f>Podsumowanie!E$2-SUM(AN$5:AN91)+SUM(R$42:R92)-SUM(S$42:S92)</f>
        <v>377715.8</v>
      </c>
      <c r="AM92" s="10">
        <f t="shared" si="66"/>
        <v>503.62</v>
      </c>
      <c r="AN92" s="10">
        <f t="shared" si="67"/>
        <v>1114.21</v>
      </c>
      <c r="AO92" s="10">
        <f t="shared" si="68"/>
        <v>1617.83</v>
      </c>
      <c r="AP92" s="10">
        <f t="shared" si="69"/>
        <v>582.9099999999999</v>
      </c>
      <c r="AR92" s="43">
        <f t="shared" si="110"/>
        <v>39904</v>
      </c>
      <c r="AS92" s="11">
        <f>AS$5+SUM(AV$5:AV91)-SUM(X$5:X92)+SUM(W$5:W92)</f>
        <v>170259.862203796</v>
      </c>
      <c r="AT92" s="10">
        <f t="shared" si="71"/>
        <v>-227.01314960506133</v>
      </c>
      <c r="AU92" s="10">
        <f>IF(AB92=1,IF(Q92="tak",AT92,PMT(M92/12,P92+1-SUM(AB$5:AB92),AS92)),0)</f>
        <v>-623.1458107729087</v>
      </c>
      <c r="AV92" s="10">
        <f t="shared" si="72"/>
        <v>-396.13266116784735</v>
      </c>
      <c r="AW92" s="10">
        <f t="shared" si="73"/>
        <v>-1815.161432200406</v>
      </c>
      <c r="AY92" s="11">
        <f>AY$5+SUM(BA$5:BA91)+SUM(W$5:W91)-SUM(X$5:X91)</f>
        <v>166116.56719148564</v>
      </c>
      <c r="AZ92" s="11">
        <f t="shared" si="74"/>
        <v>-227.01314960506133</v>
      </c>
      <c r="BA92" s="11">
        <f t="shared" si="75"/>
        <v>-490.02</v>
      </c>
      <c r="BB92" s="11">
        <f t="shared" si="76"/>
        <v>-717.0331496050613</v>
      </c>
      <c r="BC92" s="11">
        <f t="shared" si="111"/>
        <v>-2088.6458614845833</v>
      </c>
      <c r="BE92" s="172">
        <f t="shared" si="87"/>
        <v>0.042</v>
      </c>
      <c r="BF92" s="44">
        <f>BE92+Podsumowanie!$E$6</f>
        <v>0.054000000000000006</v>
      </c>
      <c r="BG92" s="11">
        <f>BG$5+SUM(BH$5:BH91)+SUM(R$5:R91)-SUM(S$5:S91)</f>
        <v>393075.3781254336</v>
      </c>
      <c r="BH92" s="10">
        <f t="shared" si="81"/>
        <v>-491.02322270441937</v>
      </c>
      <c r="BI92" s="10">
        <f t="shared" si="79"/>
        <v>-1768.8392015644513</v>
      </c>
      <c r="BJ92" s="10">
        <f>IF(U92&lt;0,PMT(BF92/12,Podsumowanie!E$8-SUM(AB$5:AB92)+1,BG92),0)</f>
        <v>-2259.8624242688707</v>
      </c>
      <c r="BL92" s="11">
        <f>BL$5+SUM(BN$5:BN91)+SUM(R$5:R91)-SUM(S$5:S91)</f>
        <v>377715.8774373259</v>
      </c>
      <c r="BM92" s="11">
        <f t="shared" si="88"/>
        <v>-1699.7214484679669</v>
      </c>
      <c r="BN92" s="11">
        <f t="shared" si="89"/>
        <v>-1114.2061281337046</v>
      </c>
      <c r="BO92" s="11">
        <f t="shared" si="90"/>
        <v>-2813.9275766016717</v>
      </c>
      <c r="BQ92" s="44">
        <f t="shared" si="91"/>
        <v>0.0541</v>
      </c>
      <c r="BR92" s="11">
        <f>BR$5+SUM(BS$5:BS91)+SUM(R$5:R91)-SUM(S$5:S91)+SUM(BV$5:BV91)</f>
        <v>407997.76756705047</v>
      </c>
      <c r="BS92" s="10">
        <f t="shared" si="101"/>
        <v>-508.77183462544895</v>
      </c>
      <c r="BT92" s="10">
        <f t="shared" si="102"/>
        <v>-1839.3899354481193</v>
      </c>
      <c r="BU92" s="10">
        <f>IF(U92&lt;0,PMT(BQ92/12,Podsumowanie!E$8-SUM(AB$5:AB92)+1,BR92),0)</f>
        <v>-2348.1617700735683</v>
      </c>
      <c r="BV92" s="10">
        <f t="shared" si="96"/>
        <v>420.7223111391165</v>
      </c>
      <c r="BX92" s="11">
        <f>BX$5+SUM(BZ$5:BZ91)+SUM(R$5:R91)-SUM(S$5:S91)+SUM(CB$5,CB91)</f>
        <v>378431.89711062907</v>
      </c>
      <c r="BY92" s="10">
        <f t="shared" si="92"/>
        <v>-1706.0971361404193</v>
      </c>
      <c r="BZ92" s="10">
        <f t="shared" si="93"/>
        <v>-1116.3182805623276</v>
      </c>
      <c r="CA92" s="10">
        <f t="shared" si="103"/>
        <v>-2822.415416702747</v>
      </c>
      <c r="CB92" s="10">
        <f t="shared" si="104"/>
        <v>894.9759577682951</v>
      </c>
      <c r="CD92" s="10">
        <f>CD$5+SUM(CE$5:CE91)+SUM(R$5:R91)-SUM(S$5:S91)-SUM(CF$5:CF91)</f>
        <v>406488.4984671933</v>
      </c>
      <c r="CE92" s="10">
        <f t="shared" si="97"/>
        <v>1706.0971361404193</v>
      </c>
      <c r="CF92" s="10">
        <f t="shared" si="98"/>
        <v>1927.4394589344517</v>
      </c>
      <c r="CG92" s="10">
        <f t="shared" si="99"/>
        <v>221.3423227940325</v>
      </c>
      <c r="CI92" s="44">
        <v>0.6516</v>
      </c>
      <c r="CJ92" s="10">
        <f t="shared" si="100"/>
        <v>-1255.92</v>
      </c>
      <c r="CK92" s="4">
        <f t="shared" si="105"/>
        <v>0</v>
      </c>
      <c r="CM92" s="10">
        <f t="shared" si="106"/>
        <v>-41400.09084265493</v>
      </c>
      <c r="CN92" s="4">
        <f t="shared" si="107"/>
        <v>-144.90031794929226</v>
      </c>
    </row>
    <row r="93" spans="1:92" ht="15.75">
      <c r="A93" s="36"/>
      <c r="B93" s="37">
        <v>39934</v>
      </c>
      <c r="C93" s="77">
        <f t="shared" si="85"/>
        <v>2.9168</v>
      </c>
      <c r="D93" s="78">
        <f>C93*(1+Podsumowanie!E$11)</f>
        <v>3.004304</v>
      </c>
      <c r="E93" s="34">
        <f t="shared" si="53"/>
        <v>-642.4183616215553</v>
      </c>
      <c r="F93" s="7">
        <f t="shared" si="82"/>
        <v>-1930.020053493085</v>
      </c>
      <c r="G93" s="7">
        <f t="shared" si="55"/>
        <v>-1416.9089445354396</v>
      </c>
      <c r="H93" s="7">
        <f t="shared" si="83"/>
        <v>513.1111089576455</v>
      </c>
      <c r="I93" s="32"/>
      <c r="J93" s="4" t="str">
        <f t="shared" si="108"/>
        <v xml:space="preserve"> </v>
      </c>
      <c r="K93" s="4">
        <f>IF(B93&lt;Podsumowanie!E$7,0,K92+1)</f>
        <v>23</v>
      </c>
      <c r="L93" s="100">
        <f t="shared" si="86"/>
        <v>0.004</v>
      </c>
      <c r="M93" s="38">
        <f>L93+Podsumowanie!E$6</f>
        <v>0.016</v>
      </c>
      <c r="N93" s="101">
        <f>MAX(Podsumowanie!E$4+SUM(AA$5:AA92)-SUM(X$5:X93)+SUM(W$5:W93),0)</f>
        <v>175117.24695116302</v>
      </c>
      <c r="O93" s="102">
        <f>MAX(Podsumowanie!E$2+SUM(V$5:V92)-SUM(S$5:S93)+SUM(R$5:R93),0)</f>
        <v>386236.14823402785</v>
      </c>
      <c r="P93" s="39">
        <f>P92</f>
        <v>360</v>
      </c>
      <c r="Q93" s="40" t="str">
        <f>IF(AND(K93&gt;0,K93&lt;=Podsumowanie!E$9),"tak","nie")</f>
        <v>nie</v>
      </c>
      <c r="R93" s="41"/>
      <c r="S93" s="42"/>
      <c r="T93" s="88">
        <f t="shared" si="59"/>
        <v>-514.9815309787037</v>
      </c>
      <c r="U93" s="89">
        <f>IF(Q93="tak",T93,IF(P93-SUM(AB$5:AB93)+1&gt;0,IF(Podsumowanie!E$7&lt;B93,IF(SUM(AB$5:AB93)-Podsumowanie!E$9+1&gt;0,PMT(M93/12,P93+1-SUM(AB$5:AB93),O93),T93),0),0))</f>
        <v>-1416.9089445354396</v>
      </c>
      <c r="V93" s="89">
        <f t="shared" si="84"/>
        <v>-901.9274135567358</v>
      </c>
      <c r="W93" s="90" t="str">
        <f>IF(R93&gt;0,R93/(C93*(1-Podsumowanie!E$11))," ")</f>
        <v xml:space="preserve"> </v>
      </c>
      <c r="X93" s="90">
        <f t="shared" si="94"/>
        <v>0</v>
      </c>
      <c r="Y93" s="91">
        <f t="shared" si="112"/>
        <v>-233.4896626015507</v>
      </c>
      <c r="Z93" s="90">
        <f>IF(P93-SUM(AB$5:AB93)+1&gt;0,IF(Podsumowanie!E$7&lt;B93,IF(SUM(AB$5:AB93)-Podsumowanie!E$9+1&gt;0,PMT(M93/12,P93+1-SUM(AB$5:AB93),N93),Y93),0),0)</f>
        <v>-642.4183616215553</v>
      </c>
      <c r="AA93" s="90">
        <f t="shared" si="80"/>
        <v>-408.9286990200046</v>
      </c>
      <c r="AB93" s="8">
        <f>IF(AND(Podsumowanie!E$7&lt;B93,SUM(AB$5:AB92)&lt;P92),1," ")</f>
        <v>1</v>
      </c>
      <c r="AD93" s="51">
        <f>IF(OR(B93&lt;Podsumowanie!E$12,Podsumowanie!E$12=""),-F93+S93,0)</f>
        <v>1930.020053493085</v>
      </c>
      <c r="AE93" s="51">
        <f t="shared" si="95"/>
        <v>0</v>
      </c>
      <c r="AG93" s="10">
        <f>Podsumowanie!E$4-SUM(AI$5:AI92)+SUM(W$42:W93)-SUM(X$42:X93)</f>
        <v>170749.1281355522</v>
      </c>
      <c r="AH93" s="10">
        <f t="shared" si="62"/>
        <v>227.67</v>
      </c>
      <c r="AI93" s="10">
        <f t="shared" si="63"/>
        <v>505.17</v>
      </c>
      <c r="AJ93" s="10">
        <f t="shared" si="64"/>
        <v>732.84</v>
      </c>
      <c r="AK93" s="10">
        <f t="shared" si="109"/>
        <v>2201.67</v>
      </c>
      <c r="AL93" s="10">
        <f>Podsumowanie!E$2-SUM(AN$5:AN92)+SUM(R$42:R93)-SUM(S$42:S93)</f>
        <v>376601.59</v>
      </c>
      <c r="AM93" s="10">
        <f t="shared" si="66"/>
        <v>502.14</v>
      </c>
      <c r="AN93" s="10">
        <f t="shared" si="67"/>
        <v>1114.21</v>
      </c>
      <c r="AO93" s="10">
        <f t="shared" si="68"/>
        <v>1616.35</v>
      </c>
      <c r="AP93" s="10">
        <f t="shared" si="69"/>
        <v>585.3200000000002</v>
      </c>
      <c r="AR93" s="43">
        <f t="shared" si="110"/>
        <v>39934</v>
      </c>
      <c r="AS93" s="11">
        <f>AS$5+SUM(AV$5:AV92)-SUM(X$5:X93)+SUM(W$5:W93)</f>
        <v>169863.72954262813</v>
      </c>
      <c r="AT93" s="10">
        <f t="shared" si="71"/>
        <v>-226.48497272350417</v>
      </c>
      <c r="AU93" s="10">
        <f>IF(AB93=1,IF(Q93="tak",AT93,PMT(M93/12,P93+1-SUM(AB$5:AB93),AS93)),0)</f>
        <v>-623.1458107729086</v>
      </c>
      <c r="AV93" s="10">
        <f t="shared" si="72"/>
        <v>-396.66083804940445</v>
      </c>
      <c r="AW93" s="10">
        <f t="shared" si="73"/>
        <v>-1817.5917008624197</v>
      </c>
      <c r="AY93" s="11">
        <f>AY$5+SUM(BA$5:BA92)+SUM(W$5:W92)-SUM(X$5:X92)</f>
        <v>165626.54719148562</v>
      </c>
      <c r="AZ93" s="11">
        <f t="shared" si="74"/>
        <v>-226.48497272350417</v>
      </c>
      <c r="BA93" s="11">
        <f t="shared" si="75"/>
        <v>-490.02</v>
      </c>
      <c r="BB93" s="11">
        <f t="shared" si="76"/>
        <v>-716.5049727235041</v>
      </c>
      <c r="BC93" s="11">
        <f t="shared" si="111"/>
        <v>-2089.9017044399166</v>
      </c>
      <c r="BE93" s="172">
        <f t="shared" si="87"/>
        <v>0.0452</v>
      </c>
      <c r="BF93" s="44">
        <f>BE93+Podsumowanie!$E$6</f>
        <v>0.0572</v>
      </c>
      <c r="BG93" s="11">
        <f>BG$5+SUM(BH$5:BH92)+SUM(R$5:R92)-SUM(S$5:S92)</f>
        <v>392584.35490272916</v>
      </c>
      <c r="BH93" s="10">
        <f t="shared" si="81"/>
        <v>-466.29877405576076</v>
      </c>
      <c r="BI93" s="10">
        <f t="shared" si="79"/>
        <v>-1871.3187583696756</v>
      </c>
      <c r="BJ93" s="10">
        <f>IF(U93&lt;0,PMT(BF93/12,Podsumowanie!E$8-SUM(AB$5:AB93)+1,BG93),0)</f>
        <v>-2337.6175324254364</v>
      </c>
      <c r="BL93" s="11">
        <f>BL$5+SUM(BN$5:BN92)+SUM(R$5:R92)-SUM(S$5:S92)</f>
        <v>376601.6713091922</v>
      </c>
      <c r="BM93" s="11">
        <f t="shared" si="88"/>
        <v>-1795.1346332404828</v>
      </c>
      <c r="BN93" s="11">
        <f t="shared" si="89"/>
        <v>-1114.2061281337046</v>
      </c>
      <c r="BO93" s="11">
        <f t="shared" si="90"/>
        <v>-2909.3407613741874</v>
      </c>
      <c r="BQ93" s="44">
        <f t="shared" si="91"/>
        <v>0.0573</v>
      </c>
      <c r="BR93" s="11">
        <f>BR$5+SUM(BS$5:BS92)+SUM(R$5:R92)-SUM(S$5:S92)+SUM(BV$5:BV92)</f>
        <v>407909.7180435641</v>
      </c>
      <c r="BS93" s="10">
        <f t="shared" si="101"/>
        <v>-483.6477175171922</v>
      </c>
      <c r="BT93" s="10">
        <f t="shared" si="102"/>
        <v>-1947.7689036580186</v>
      </c>
      <c r="BU93" s="10">
        <f>IF(U93&lt;0,PMT(BQ93/12,Podsumowanie!E$8-SUM(AB$5:AB93)+1,BR93),0)</f>
        <v>-2431.416621175211</v>
      </c>
      <c r="BV93" s="10">
        <f t="shared" si="96"/>
        <v>501.3965676821258</v>
      </c>
      <c r="BX93" s="11">
        <f>BX$5+SUM(BZ$5:BZ92)+SUM(R$5:R92)-SUM(S$5:S92)+SUM(CB$5,CB92)</f>
        <v>377416.0608935283</v>
      </c>
      <c r="BY93" s="10">
        <f t="shared" si="92"/>
        <v>-1802.1616907665975</v>
      </c>
      <c r="BZ93" s="10">
        <f t="shared" si="93"/>
        <v>-1116.6155647737523</v>
      </c>
      <c r="CA93" s="10">
        <f t="shared" si="103"/>
        <v>-2918.77725554035</v>
      </c>
      <c r="CB93" s="10">
        <f t="shared" si="104"/>
        <v>988.7572020472649</v>
      </c>
      <c r="CD93" s="10">
        <f>CD$5+SUM(CE$5:CE92)+SUM(R$5:R92)-SUM(S$5:S92)-SUM(CF$5:CF92)</f>
        <v>406267.1561443992</v>
      </c>
      <c r="CE93" s="10">
        <f t="shared" si="97"/>
        <v>1802.1616907665975</v>
      </c>
      <c r="CF93" s="10">
        <f t="shared" si="98"/>
        <v>1930.020053493085</v>
      </c>
      <c r="CG93" s="10">
        <f t="shared" si="99"/>
        <v>127.85836272648748</v>
      </c>
      <c r="CI93" s="44">
        <v>0.6401</v>
      </c>
      <c r="CJ93" s="10">
        <f t="shared" si="100"/>
        <v>-1235.41</v>
      </c>
      <c r="CK93" s="4">
        <f t="shared" si="105"/>
        <v>0</v>
      </c>
      <c r="CM93" s="10">
        <f t="shared" si="106"/>
        <v>-43330.11089614801</v>
      </c>
      <c r="CN93" s="4">
        <f t="shared" si="107"/>
        <v>-163.21008437549082</v>
      </c>
    </row>
    <row r="94" spans="1:92" ht="15.75">
      <c r="A94" s="36"/>
      <c r="B94" s="37">
        <v>39965</v>
      </c>
      <c r="C94" s="77">
        <f t="shared" si="85"/>
        <v>2.9751</v>
      </c>
      <c r="D94" s="78">
        <f>C94*(1+Podsumowanie!E$11)</f>
        <v>3.064353</v>
      </c>
      <c r="E94" s="34">
        <f t="shared" si="53"/>
        <v>-642.4183616215553</v>
      </c>
      <c r="F94" s="7">
        <f t="shared" si="82"/>
        <v>-1968.5966336900979</v>
      </c>
      <c r="G94" s="7">
        <f t="shared" si="55"/>
        <v>-1416.9089445354396</v>
      </c>
      <c r="H94" s="7">
        <f t="shared" si="83"/>
        <v>551.6876891546583</v>
      </c>
      <c r="I94" s="32"/>
      <c r="J94" s="4" t="str">
        <f t="shared" si="108"/>
        <v xml:space="preserve"> </v>
      </c>
      <c r="K94" s="4">
        <f>IF(B94&lt;Podsumowanie!E$7,0,K93+1)</f>
        <v>24</v>
      </c>
      <c r="L94" s="100">
        <f t="shared" si="86"/>
        <v>0.004</v>
      </c>
      <c r="M94" s="38">
        <f>L94+Podsumowanie!E$6</f>
        <v>0.016</v>
      </c>
      <c r="N94" s="101">
        <f>MAX(Podsumowanie!E$4+SUM(AA$5:AA93)-SUM(X$5:X94)+SUM(W$5:W94),0)</f>
        <v>174708.318252143</v>
      </c>
      <c r="O94" s="102">
        <f>MAX(Podsumowanie!E$2+SUM(V$5:V93)-SUM(S$5:S94)+SUM(R$5:R94),0)</f>
        <v>385334.2208204711</v>
      </c>
      <c r="P94" s="39">
        <f t="shared" si="58"/>
        <v>360</v>
      </c>
      <c r="Q94" s="40" t="str">
        <f>IF(AND(K94&gt;0,K94&lt;=Podsumowanie!E$9),"tak","nie")</f>
        <v>nie</v>
      </c>
      <c r="R94" s="41"/>
      <c r="S94" s="42"/>
      <c r="T94" s="88">
        <f t="shared" si="59"/>
        <v>-513.7789610939615</v>
      </c>
      <c r="U94" s="89">
        <f>IF(Q94="tak",T94,IF(P94-SUM(AB$5:AB94)+1&gt;0,IF(Podsumowanie!E$7&lt;B94,IF(SUM(AB$5:AB94)-Podsumowanie!E$9+1&gt;0,PMT(M94/12,P94+1-SUM(AB$5:AB94),O94),T94),0),0))</f>
        <v>-1416.9089445354396</v>
      </c>
      <c r="V94" s="89">
        <f t="shared" si="84"/>
        <v>-903.1299834414781</v>
      </c>
      <c r="W94" s="90" t="str">
        <f>IF(R94&gt;0,R94/(C94*(1-Podsumowanie!E$11))," ")</f>
        <v xml:space="preserve"> </v>
      </c>
      <c r="X94" s="90">
        <f t="shared" si="94"/>
        <v>0</v>
      </c>
      <c r="Y94" s="91">
        <f t="shared" si="112"/>
        <v>-232.94442433619068</v>
      </c>
      <c r="Z94" s="90">
        <f>IF(P94-SUM(AB$5:AB94)+1&gt;0,IF(Podsumowanie!E$7&lt;B94,IF(SUM(AB$5:AB94)-Podsumowanie!E$9+1&gt;0,PMT(M94/12,P94+1-SUM(AB$5:AB94),N94),Y94),0),0)</f>
        <v>-642.4183616215553</v>
      </c>
      <c r="AA94" s="90">
        <f t="shared" si="80"/>
        <v>-409.4739372853646</v>
      </c>
      <c r="AB94" s="8">
        <f>IF(AND(Podsumowanie!E$7&lt;B94,SUM(AB$5:AB93)&lt;P93),1," ")</f>
        <v>1</v>
      </c>
      <c r="AD94" s="51">
        <f>IF(OR(B94&lt;Podsumowanie!E$12,Podsumowanie!E$12=""),-F94+S94,0)</f>
        <v>1968.5966336900979</v>
      </c>
      <c r="AE94" s="51">
        <f t="shared" si="95"/>
        <v>0</v>
      </c>
      <c r="AG94" s="10">
        <f>Podsumowanie!E$4-SUM(AI$5:AI93)+SUM(W$42:W94)-SUM(X$42:X94)</f>
        <v>170243.9581355522</v>
      </c>
      <c r="AH94" s="10">
        <f t="shared" si="62"/>
        <v>226.99</v>
      </c>
      <c r="AI94" s="10">
        <f t="shared" si="63"/>
        <v>505.17</v>
      </c>
      <c r="AJ94" s="10">
        <f t="shared" si="64"/>
        <v>732.1600000000001</v>
      </c>
      <c r="AK94" s="10">
        <f t="shared" si="109"/>
        <v>2243.6</v>
      </c>
      <c r="AL94" s="10">
        <f>Podsumowanie!E$2-SUM(AN$5:AN93)+SUM(R$42:R94)-SUM(S$42:S94)</f>
        <v>375487.38</v>
      </c>
      <c r="AM94" s="10">
        <f t="shared" si="66"/>
        <v>500.65</v>
      </c>
      <c r="AN94" s="10">
        <f t="shared" si="67"/>
        <v>1114.21</v>
      </c>
      <c r="AO94" s="10">
        <f t="shared" si="68"/>
        <v>1614.8600000000001</v>
      </c>
      <c r="AP94" s="10">
        <f t="shared" si="69"/>
        <v>628.7399999999998</v>
      </c>
      <c r="AR94" s="43">
        <f t="shared" si="110"/>
        <v>39965</v>
      </c>
      <c r="AS94" s="11">
        <f>AS$5+SUM(AV$5:AV93)-SUM(X$5:X94)+SUM(W$5:W94)</f>
        <v>169467.06870457873</v>
      </c>
      <c r="AT94" s="10">
        <f t="shared" si="71"/>
        <v>-225.956091606105</v>
      </c>
      <c r="AU94" s="10">
        <f>IF(AB94=1,IF(Q94="tak",AT94,PMT(M94/12,P94+1-SUM(AB$5:AB94),AS94)),0)</f>
        <v>-623.1458107729086</v>
      </c>
      <c r="AV94" s="10">
        <f t="shared" si="72"/>
        <v>-397.18971916680357</v>
      </c>
      <c r="AW94" s="10">
        <f t="shared" si="73"/>
        <v>-1853.9211016304803</v>
      </c>
      <c r="AY94" s="11">
        <f>AY$5+SUM(BA$5:BA93)+SUM(W$5:W93)-SUM(X$5:X93)</f>
        <v>165136.52719148563</v>
      </c>
      <c r="AZ94" s="11">
        <f t="shared" si="74"/>
        <v>-225.956091606105</v>
      </c>
      <c r="BA94" s="11">
        <f t="shared" si="75"/>
        <v>-490.02</v>
      </c>
      <c r="BB94" s="11">
        <f t="shared" si="76"/>
        <v>-715.976091606105</v>
      </c>
      <c r="BC94" s="11">
        <f t="shared" si="111"/>
        <v>-2130.100470137323</v>
      </c>
      <c r="BE94" s="172">
        <f t="shared" si="87"/>
        <v>0.046</v>
      </c>
      <c r="BF94" s="44">
        <f>BE94+Podsumowanie!$E$6</f>
        <v>0.057999999999999996</v>
      </c>
      <c r="BG94" s="11">
        <f>BG$5+SUM(BH$5:BH93)+SUM(R$5:R93)-SUM(S$5:S93)</f>
        <v>392118.05612867343</v>
      </c>
      <c r="BH94" s="10">
        <f t="shared" si="81"/>
        <v>-461.9709017362825</v>
      </c>
      <c r="BI94" s="10">
        <f t="shared" si="79"/>
        <v>-1895.237271288588</v>
      </c>
      <c r="BJ94" s="10">
        <f>IF(U94&lt;0,PMT(BF94/12,Podsumowanie!E$8-SUM(AB$5:AB94)+1,BG94),0)</f>
        <v>-2357.2081730248706</v>
      </c>
      <c r="BL94" s="11">
        <f>BL$5+SUM(BN$5:BN93)+SUM(R$5:R93)-SUM(S$5:S93)</f>
        <v>375487.4651810585</v>
      </c>
      <c r="BM94" s="11">
        <f t="shared" si="88"/>
        <v>-1814.8560817084492</v>
      </c>
      <c r="BN94" s="11">
        <f t="shared" si="89"/>
        <v>-1114.2061281337049</v>
      </c>
      <c r="BO94" s="11">
        <f t="shared" si="90"/>
        <v>-2929.062209842154</v>
      </c>
      <c r="BQ94" s="44">
        <f t="shared" si="91"/>
        <v>0.0581</v>
      </c>
      <c r="BR94" s="11">
        <f>BR$5+SUM(BS$5:BS93)+SUM(R$5:R93)-SUM(S$5:S93)+SUM(BV$5:BV93)</f>
        <v>407927.46689372906</v>
      </c>
      <c r="BS94" s="10">
        <f t="shared" si="101"/>
        <v>-479.7503180974252</v>
      </c>
      <c r="BT94" s="10">
        <f t="shared" si="102"/>
        <v>-1975.048818877138</v>
      </c>
      <c r="BU94" s="10">
        <f>IF(U94&lt;0,PMT(BQ94/12,Podsumowanie!E$8-SUM(AB$5:AB94)+1,BR94),0)</f>
        <v>-2454.799136974563</v>
      </c>
      <c r="BV94" s="10">
        <f t="shared" si="96"/>
        <v>486.20250328446537</v>
      </c>
      <c r="BX94" s="11">
        <f>BX$5+SUM(BZ$5:BZ93)+SUM(R$5:R93)-SUM(S$5:S93)+SUM(CB$5,CB93)</f>
        <v>376393.22657303355</v>
      </c>
      <c r="BY94" s="10">
        <f t="shared" si="92"/>
        <v>-1822.3705386577706</v>
      </c>
      <c r="BZ94" s="10">
        <f t="shared" si="93"/>
        <v>-1116.8938473977257</v>
      </c>
      <c r="CA94" s="10">
        <f t="shared" si="103"/>
        <v>-2939.2643860554963</v>
      </c>
      <c r="CB94" s="10">
        <f t="shared" si="104"/>
        <v>970.6677523653984</v>
      </c>
      <c r="CD94" s="10">
        <f>CD$5+SUM(CE$5:CE93)+SUM(R$5:R93)-SUM(S$5:S93)-SUM(CF$5:CF93)</f>
        <v>406139.29778167274</v>
      </c>
      <c r="CE94" s="10">
        <f t="shared" si="97"/>
        <v>1822.3705386577706</v>
      </c>
      <c r="CF94" s="10">
        <f t="shared" si="98"/>
        <v>1968.5966336900979</v>
      </c>
      <c r="CG94" s="10">
        <f t="shared" si="99"/>
        <v>146.2260950323273</v>
      </c>
      <c r="CI94" s="44">
        <v>0.6319</v>
      </c>
      <c r="CJ94" s="10">
        <f t="shared" si="100"/>
        <v>-1243.96</v>
      </c>
      <c r="CK94" s="4">
        <f t="shared" si="105"/>
        <v>0</v>
      </c>
      <c r="CM94" s="10">
        <f t="shared" si="106"/>
        <v>-45298.70752983811</v>
      </c>
      <c r="CN94" s="4">
        <f t="shared" si="107"/>
        <v>-173.6450455310461</v>
      </c>
    </row>
    <row r="95" spans="1:92" ht="15.75">
      <c r="A95" s="36"/>
      <c r="B95" s="37">
        <v>39995</v>
      </c>
      <c r="C95" s="77">
        <f t="shared" si="85"/>
        <v>2.8325</v>
      </c>
      <c r="D95" s="78">
        <f>C95*(1+Podsumowanie!E$11)</f>
        <v>2.917475</v>
      </c>
      <c r="E95" s="34">
        <f t="shared" si="53"/>
        <v>-642.4183616215555</v>
      </c>
      <c r="F95" s="7">
        <f t="shared" si="82"/>
        <v>-1874.2395095718477</v>
      </c>
      <c r="G95" s="7">
        <f t="shared" si="55"/>
        <v>-1416.9089445354398</v>
      </c>
      <c r="H95" s="7">
        <f t="shared" si="83"/>
        <v>457.33056503640796</v>
      </c>
      <c r="I95" s="32"/>
      <c r="J95" s="4" t="str">
        <f t="shared" si="108"/>
        <v xml:space="preserve"> </v>
      </c>
      <c r="K95" s="4">
        <f>IF(B95&lt;Podsumowanie!E$7,0,K94+1)</f>
        <v>25</v>
      </c>
      <c r="L95" s="100">
        <f t="shared" si="86"/>
        <v>0.004</v>
      </c>
      <c r="M95" s="38">
        <f>L95+Podsumowanie!E$6</f>
        <v>0.016</v>
      </c>
      <c r="N95" s="101">
        <f>MAX(Podsumowanie!E$4+SUM(AA$5:AA94)-SUM(X$5:X95)+SUM(W$5:W95),0)</f>
        <v>174298.84431485768</v>
      </c>
      <c r="O95" s="102">
        <f>MAX(Podsumowanie!E$2+SUM(V$5:V94)-SUM(S$5:S95)+SUM(R$5:R95),0)</f>
        <v>384431.0908370296</v>
      </c>
      <c r="P95" s="39">
        <f t="shared" si="58"/>
        <v>360</v>
      </c>
      <c r="Q95" s="40" t="str">
        <f>IF(AND(K95&gt;0,K95&lt;=Podsumowanie!E$9),"tak","nie")</f>
        <v>nie</v>
      </c>
      <c r="R95" s="41"/>
      <c r="S95" s="42"/>
      <c r="T95" s="88">
        <f t="shared" si="59"/>
        <v>-512.5747877827062</v>
      </c>
      <c r="U95" s="89">
        <f>IF(Q95="tak",T95,IF(P95-SUM(AB$5:AB95)+1&gt;0,IF(Podsumowanie!E$7&lt;B95,IF(SUM(AB$5:AB95)-Podsumowanie!E$9+1&gt;0,PMT(M95/12,P95+1-SUM(AB$5:AB95),O95),T95),0),0))</f>
        <v>-1416.9089445354398</v>
      </c>
      <c r="V95" s="89">
        <f t="shared" si="84"/>
        <v>-904.3341567527336</v>
      </c>
      <c r="W95" s="90" t="str">
        <f>IF(R95&gt;0,R95/(C95*(1-Podsumowanie!E$11))," ")</f>
        <v xml:space="preserve"> </v>
      </c>
      <c r="X95" s="90">
        <f t="shared" si="94"/>
        <v>0</v>
      </c>
      <c r="Y95" s="91">
        <f t="shared" si="112"/>
        <v>-232.39845908647692</v>
      </c>
      <c r="Z95" s="90">
        <f>IF(P95-SUM(AB$5:AB95)+1&gt;0,IF(Podsumowanie!E$7&lt;B95,IF(SUM(AB$5:AB95)-Podsumowanie!E$9+1&gt;0,PMT(M95/12,P95+1-SUM(AB$5:AB95),N95),Y95),0),0)</f>
        <v>-642.4183616215555</v>
      </c>
      <c r="AA95" s="90">
        <f t="shared" si="80"/>
        <v>-410.0199025350786</v>
      </c>
      <c r="AB95" s="8">
        <f>IF(AND(Podsumowanie!E$7&lt;B95,SUM(AB$5:AB94)&lt;P94),1," ")</f>
        <v>1</v>
      </c>
      <c r="AD95" s="51">
        <f>IF(OR(B95&lt;Podsumowanie!E$12,Podsumowanie!E$12=""),-F95+S95,0)</f>
        <v>1874.2395095718477</v>
      </c>
      <c r="AE95" s="51">
        <f t="shared" si="95"/>
        <v>0</v>
      </c>
      <c r="AG95" s="10">
        <f>Podsumowanie!E$4-SUM(AI$5:AI94)+SUM(W$42:W95)-SUM(X$42:X95)</f>
        <v>169738.7881355522</v>
      </c>
      <c r="AH95" s="10">
        <f t="shared" si="62"/>
        <v>226.32</v>
      </c>
      <c r="AI95" s="10">
        <f t="shared" si="63"/>
        <v>505.17</v>
      </c>
      <c r="AJ95" s="10">
        <f t="shared" si="64"/>
        <v>731.49</v>
      </c>
      <c r="AK95" s="10">
        <f t="shared" si="109"/>
        <v>2134.1</v>
      </c>
      <c r="AL95" s="10">
        <f>Podsumowanie!E$2-SUM(AN$5:AN94)+SUM(R$42:R95)-SUM(S$42:S95)</f>
        <v>374373.17000000004</v>
      </c>
      <c r="AM95" s="10">
        <f t="shared" si="66"/>
        <v>499.16</v>
      </c>
      <c r="AN95" s="10">
        <f t="shared" si="67"/>
        <v>1114.21</v>
      </c>
      <c r="AO95" s="10">
        <f t="shared" si="68"/>
        <v>1613.3700000000001</v>
      </c>
      <c r="AP95" s="10">
        <f t="shared" si="69"/>
        <v>520.7299999999998</v>
      </c>
      <c r="AR95" s="43">
        <f t="shared" si="110"/>
        <v>39995</v>
      </c>
      <c r="AS95" s="11">
        <f>AS$5+SUM(AV$5:AV94)-SUM(X$5:X95)+SUM(W$5:W95)</f>
        <v>169069.87898541192</v>
      </c>
      <c r="AT95" s="10">
        <f t="shared" si="71"/>
        <v>-225.42650531388256</v>
      </c>
      <c r="AU95" s="10">
        <f>IF(AB95=1,IF(Q95="tak",AT95,PMT(M95/12,P95+1-SUM(AB$5:AB95),AS95)),0)</f>
        <v>-623.1458107729087</v>
      </c>
      <c r="AV95" s="10">
        <f t="shared" si="72"/>
        <v>-397.71930545902615</v>
      </c>
      <c r="AW95" s="10">
        <f t="shared" si="73"/>
        <v>-1765.060509014264</v>
      </c>
      <c r="AY95" s="11">
        <f>AY$5+SUM(BA$5:BA94)+SUM(W$5:W94)-SUM(X$5:X94)</f>
        <v>164646.5071914856</v>
      </c>
      <c r="AZ95" s="11">
        <f t="shared" si="74"/>
        <v>-225.42650531388256</v>
      </c>
      <c r="BA95" s="11">
        <f t="shared" si="75"/>
        <v>-490.02</v>
      </c>
      <c r="BB95" s="11">
        <f t="shared" si="76"/>
        <v>-715.4465053138825</v>
      </c>
      <c r="BC95" s="11">
        <f t="shared" si="111"/>
        <v>-2026.5022263015724</v>
      </c>
      <c r="BE95" s="172">
        <f t="shared" si="87"/>
        <v>0.0426</v>
      </c>
      <c r="BF95" s="44">
        <f>BE95+Podsumowanie!$E$6</f>
        <v>0.054599999999999996</v>
      </c>
      <c r="BG95" s="11">
        <f>BG$5+SUM(BH$5:BH94)+SUM(R$5:R94)-SUM(S$5:S94)</f>
        <v>391656.08522693714</v>
      </c>
      <c r="BH95" s="10">
        <f t="shared" si="81"/>
        <v>-492.60333352159546</v>
      </c>
      <c r="BI95" s="10">
        <f t="shared" si="79"/>
        <v>-1782.035187782564</v>
      </c>
      <c r="BJ95" s="10">
        <f>IF(U95&lt;0,PMT(BF95/12,Podsumowanie!E$8-SUM(AB$5:AB95)+1,BG95),0)</f>
        <v>-2274.6385213041594</v>
      </c>
      <c r="BL95" s="11">
        <f>BL$5+SUM(BN$5:BN94)+SUM(R$5:R94)-SUM(S$5:S94)</f>
        <v>374373.2590529248</v>
      </c>
      <c r="BM95" s="11">
        <f t="shared" si="88"/>
        <v>-1703.3983286908078</v>
      </c>
      <c r="BN95" s="11">
        <f t="shared" si="89"/>
        <v>-1114.2061281337049</v>
      </c>
      <c r="BO95" s="11">
        <f t="shared" si="90"/>
        <v>-2817.6044568245125</v>
      </c>
      <c r="BQ95" s="44">
        <f t="shared" si="91"/>
        <v>0.0547</v>
      </c>
      <c r="BR95" s="11">
        <f>BR$5+SUM(BS$5:BS94)+SUM(R$5:R94)-SUM(S$5:S94)+SUM(BV$5:BV94)</f>
        <v>407933.9190789161</v>
      </c>
      <c r="BS95" s="10">
        <f t="shared" si="101"/>
        <v>-512.1861590764049</v>
      </c>
      <c r="BT95" s="10">
        <f t="shared" si="102"/>
        <v>-1859.4987811347257</v>
      </c>
      <c r="BU95" s="10">
        <f>IF(U95&lt;0,PMT(BQ95/12,Podsumowanie!E$8-SUM(AB$5:AB95)+1,BR95),0)</f>
        <v>-2371.6849402111307</v>
      </c>
      <c r="BV95" s="10">
        <f t="shared" si="96"/>
        <v>497.4454306392829</v>
      </c>
      <c r="BX95" s="11">
        <f>BX$5+SUM(BZ$5:BZ94)+SUM(R$5:R94)-SUM(S$5:S94)+SUM(CB$5,CB94)</f>
        <v>375258.243275954</v>
      </c>
      <c r="BY95" s="10">
        <f t="shared" si="92"/>
        <v>-1710.55215893289</v>
      </c>
      <c r="BZ95" s="10">
        <f t="shared" si="93"/>
        <v>-1116.840009749863</v>
      </c>
      <c r="CA95" s="10">
        <f t="shared" si="103"/>
        <v>-2827.392168682753</v>
      </c>
      <c r="CB95" s="10">
        <f t="shared" si="104"/>
        <v>953.1526591109052</v>
      </c>
      <c r="CD95" s="10">
        <f>CD$5+SUM(CE$5:CE94)+SUM(R$5:R94)-SUM(S$5:S94)-SUM(CF$5:CF94)</f>
        <v>405993.0716866404</v>
      </c>
      <c r="CE95" s="10">
        <f t="shared" si="97"/>
        <v>1710.55215893289</v>
      </c>
      <c r="CF95" s="10">
        <f t="shared" si="98"/>
        <v>1874.2395095718477</v>
      </c>
      <c r="CG95" s="10">
        <f t="shared" si="99"/>
        <v>163.6873506389577</v>
      </c>
      <c r="CI95" s="44">
        <v>0.6287</v>
      </c>
      <c r="CJ95" s="10">
        <f t="shared" si="100"/>
        <v>-1178.33</v>
      </c>
      <c r="CK95" s="4">
        <f t="shared" si="105"/>
        <v>0</v>
      </c>
      <c r="CM95" s="10">
        <f t="shared" si="106"/>
        <v>-47172.947039409955</v>
      </c>
      <c r="CN95" s="4">
        <f t="shared" si="107"/>
        <v>-167.46396198990533</v>
      </c>
    </row>
    <row r="96" spans="1:92" ht="15.75">
      <c r="A96" s="36"/>
      <c r="B96" s="37">
        <v>40026</v>
      </c>
      <c r="C96" s="77">
        <f t="shared" si="85"/>
        <v>2.71</v>
      </c>
      <c r="D96" s="78">
        <f>C96*(1+Podsumowanie!E$11)</f>
        <v>2.7913</v>
      </c>
      <c r="E96" s="34">
        <f t="shared" si="53"/>
        <v>-642.4183616215553</v>
      </c>
      <c r="F96" s="7">
        <f t="shared" si="82"/>
        <v>-1793.1823727942474</v>
      </c>
      <c r="G96" s="7">
        <f t="shared" si="55"/>
        <v>-1416.9089445354398</v>
      </c>
      <c r="H96" s="7">
        <f t="shared" si="83"/>
        <v>376.2734282588076</v>
      </c>
      <c r="I96" s="32"/>
      <c r="J96" s="4" t="str">
        <f t="shared" si="108"/>
        <v xml:space="preserve"> </v>
      </c>
      <c r="K96" s="4">
        <f>IF(B96&lt;Podsumowanie!E$7,0,K95+1)</f>
        <v>26</v>
      </c>
      <c r="L96" s="100">
        <f t="shared" si="86"/>
        <v>0.004</v>
      </c>
      <c r="M96" s="38">
        <f>L96+Podsumowanie!E$6</f>
        <v>0.016</v>
      </c>
      <c r="N96" s="101">
        <f>MAX(Podsumowanie!E$4+SUM(AA$5:AA95)-SUM(X$5:X96)+SUM(W$5:W96),0)</f>
        <v>173888.82441232257</v>
      </c>
      <c r="O96" s="102">
        <f>MAX(Podsumowanie!E$2+SUM(V$5:V95)-SUM(S$5:S96)+SUM(R$5:R96),0)</f>
        <v>383526.7566802769</v>
      </c>
      <c r="P96" s="39">
        <f t="shared" si="58"/>
        <v>360</v>
      </c>
      <c r="Q96" s="40" t="str">
        <f>IF(AND(K96&gt;0,K96&lt;=Podsumowanie!E$9),"tak","nie")</f>
        <v>nie</v>
      </c>
      <c r="R96" s="41"/>
      <c r="S96" s="42"/>
      <c r="T96" s="88">
        <f t="shared" si="59"/>
        <v>-511.36900890703583</v>
      </c>
      <c r="U96" s="89">
        <f>IF(Q96="tak",T96,IF(P96-SUM(AB$5:AB96)+1&gt;0,IF(Podsumowanie!E$7&lt;B96,IF(SUM(AB$5:AB96)-Podsumowanie!E$9+1&gt;0,PMT(M96/12,P96+1-SUM(AB$5:AB96),O96),T96),0),0))</f>
        <v>-1416.9089445354398</v>
      </c>
      <c r="V96" s="89">
        <f t="shared" si="84"/>
        <v>-905.539935628404</v>
      </c>
      <c r="W96" s="90" t="str">
        <f>IF(R96&gt;0,R96/(C96*(1-Podsumowanie!E$11))," ")</f>
        <v xml:space="preserve"> </v>
      </c>
      <c r="X96" s="90">
        <f t="shared" si="94"/>
        <v>0</v>
      </c>
      <c r="Y96" s="91">
        <f t="shared" si="112"/>
        <v>-231.85176588309676</v>
      </c>
      <c r="Z96" s="90">
        <f>IF(P96-SUM(AB$5:AB96)+1&gt;0,IF(Podsumowanie!E$7&lt;B96,IF(SUM(AB$5:AB96)-Podsumowanie!E$9+1&gt;0,PMT(M96/12,P96+1-SUM(AB$5:AB96),N96),Y96),0),0)</f>
        <v>-642.4183616215553</v>
      </c>
      <c r="AA96" s="90">
        <f t="shared" si="80"/>
        <v>-410.56659573845855</v>
      </c>
      <c r="AB96" s="8">
        <f>IF(AND(Podsumowanie!E$7&lt;B96,SUM(AB$5:AB95)&lt;P95),1," ")</f>
        <v>1</v>
      </c>
      <c r="AD96" s="51">
        <f>IF(OR(B96&lt;Podsumowanie!E$12,Podsumowanie!E$12=""),-F96+S96,0)</f>
        <v>1793.1823727942474</v>
      </c>
      <c r="AE96" s="51">
        <f t="shared" si="95"/>
        <v>0</v>
      </c>
      <c r="AG96" s="10">
        <f>Podsumowanie!E$4-SUM(AI$5:AI95)+SUM(W$42:W96)-SUM(X$42:X96)</f>
        <v>169233.6181355522</v>
      </c>
      <c r="AH96" s="10">
        <f t="shared" si="62"/>
        <v>225.64</v>
      </c>
      <c r="AI96" s="10">
        <f t="shared" si="63"/>
        <v>505.17</v>
      </c>
      <c r="AJ96" s="10">
        <f t="shared" si="64"/>
        <v>730.81</v>
      </c>
      <c r="AK96" s="10">
        <f t="shared" si="109"/>
        <v>2039.91</v>
      </c>
      <c r="AL96" s="10">
        <f>Podsumowanie!E$2-SUM(AN$5:AN95)+SUM(R$42:R96)-SUM(S$42:S96)</f>
        <v>373258.96</v>
      </c>
      <c r="AM96" s="10">
        <f t="shared" si="66"/>
        <v>497.68</v>
      </c>
      <c r="AN96" s="10">
        <f t="shared" si="67"/>
        <v>1114.21</v>
      </c>
      <c r="AO96" s="10">
        <f t="shared" si="68"/>
        <v>1611.89</v>
      </c>
      <c r="AP96" s="10">
        <f t="shared" si="69"/>
        <v>428.02</v>
      </c>
      <c r="AR96" s="43">
        <f t="shared" si="110"/>
        <v>40026</v>
      </c>
      <c r="AS96" s="11">
        <f>AS$5+SUM(AV$5:AV95)-SUM(X$5:X96)+SUM(W$5:W96)</f>
        <v>168672.1596799529</v>
      </c>
      <c r="AT96" s="10">
        <f t="shared" si="71"/>
        <v>-224.89621290660386</v>
      </c>
      <c r="AU96" s="10">
        <f>IF(AB96=1,IF(Q96="tak",AT96,PMT(M96/12,P96+1-SUM(AB$5:AB96),AS96)),0)</f>
        <v>-623.1458107729087</v>
      </c>
      <c r="AV96" s="10">
        <f t="shared" si="72"/>
        <v>-398.24959786630484</v>
      </c>
      <c r="AW96" s="10">
        <f t="shared" si="73"/>
        <v>-1688.7251471945826</v>
      </c>
      <c r="AY96" s="11">
        <f>AY$5+SUM(BA$5:BA95)+SUM(W$5:W95)-SUM(X$5:X95)</f>
        <v>164156.48719148562</v>
      </c>
      <c r="AZ96" s="11">
        <f t="shared" si="74"/>
        <v>-224.89621290660386</v>
      </c>
      <c r="BA96" s="11">
        <f t="shared" si="75"/>
        <v>-490.02</v>
      </c>
      <c r="BB96" s="11">
        <f t="shared" si="76"/>
        <v>-714.9162129066038</v>
      </c>
      <c r="BC96" s="11">
        <f t="shared" si="111"/>
        <v>-1937.4229369768964</v>
      </c>
      <c r="BE96" s="172">
        <f t="shared" si="87"/>
        <v>0.0416</v>
      </c>
      <c r="BF96" s="44">
        <f>BE96+Podsumowanie!$E$6</f>
        <v>0.053599999999999995</v>
      </c>
      <c r="BG96" s="11">
        <f>BG$5+SUM(BH$5:BH95)+SUM(R$5:R95)-SUM(S$5:S95)</f>
        <v>391163.48189341556</v>
      </c>
      <c r="BH96" s="10">
        <f t="shared" si="81"/>
        <v>-503.4697124405129</v>
      </c>
      <c r="BI96" s="10">
        <f t="shared" si="79"/>
        <v>-1747.1968857905895</v>
      </c>
      <c r="BJ96" s="10">
        <f>IF(U96&lt;0,PMT(BF96/12,Podsumowanie!E$8-SUM(AB$5:AB96)+1,BG96),0)</f>
        <v>-2250.6665982311024</v>
      </c>
      <c r="BL96" s="11">
        <f>BL$5+SUM(BN$5:BN95)+SUM(R$5:R95)-SUM(S$5:S95)</f>
        <v>373259.0529247911</v>
      </c>
      <c r="BM96" s="11">
        <f t="shared" si="88"/>
        <v>-1667.2237697307335</v>
      </c>
      <c r="BN96" s="11">
        <f t="shared" si="89"/>
        <v>-1114.2061281337049</v>
      </c>
      <c r="BO96" s="11">
        <f t="shared" si="90"/>
        <v>-2781.4298978644383</v>
      </c>
      <c r="BQ96" s="44">
        <f t="shared" si="91"/>
        <v>0.0537</v>
      </c>
      <c r="BR96" s="11">
        <f>BR$5+SUM(BS$5:BS95)+SUM(R$5:R95)-SUM(S$5:S95)+SUM(BV$5:BV95)</f>
        <v>407919.178350479</v>
      </c>
      <c r="BS96" s="10">
        <f t="shared" si="101"/>
        <v>-524.130981266522</v>
      </c>
      <c r="BT96" s="10">
        <f t="shared" si="102"/>
        <v>-1825.4383231183936</v>
      </c>
      <c r="BU96" s="10">
        <f>IF(U96&lt;0,PMT(BQ96/12,Podsumowanie!E$8-SUM(AB$5:AB96)+1,BR96),0)</f>
        <v>-2349.5693043849155</v>
      </c>
      <c r="BV96" s="10">
        <f t="shared" si="96"/>
        <v>556.3869315906682</v>
      </c>
      <c r="BX96" s="11">
        <f>BX$5+SUM(BZ$5:BZ95)+SUM(R$5:R95)-SUM(S$5:S95)+SUM(CB$5,CB95)</f>
        <v>374123.8881729496</v>
      </c>
      <c r="BY96" s="10">
        <f t="shared" si="92"/>
        <v>-1674.2043995739496</v>
      </c>
      <c r="BZ96" s="10">
        <f t="shared" si="93"/>
        <v>-1116.7877258894018</v>
      </c>
      <c r="CA96" s="10">
        <f t="shared" si="103"/>
        <v>-2790.9921254633514</v>
      </c>
      <c r="CB96" s="10">
        <f t="shared" si="104"/>
        <v>997.809752669104</v>
      </c>
      <c r="CD96" s="10">
        <f>CD$5+SUM(CE$5:CE95)+SUM(R$5:R95)-SUM(S$5:S95)-SUM(CF$5:CF95)</f>
        <v>405829.3843360015</v>
      </c>
      <c r="CE96" s="10">
        <f t="shared" si="97"/>
        <v>1674.2043995739496</v>
      </c>
      <c r="CF96" s="10">
        <f t="shared" si="98"/>
        <v>1793.1823727942474</v>
      </c>
      <c r="CG96" s="10">
        <f t="shared" si="99"/>
        <v>118.97797322029783</v>
      </c>
      <c r="CI96" s="44">
        <v>0.627</v>
      </c>
      <c r="CJ96" s="10">
        <f t="shared" si="100"/>
        <v>-1124.33</v>
      </c>
      <c r="CK96" s="4">
        <f t="shared" si="105"/>
        <v>0</v>
      </c>
      <c r="CM96" s="10">
        <f t="shared" si="106"/>
        <v>-48966.1294122042</v>
      </c>
      <c r="CN96" s="4">
        <f t="shared" si="107"/>
        <v>-169.74924862897456</v>
      </c>
    </row>
    <row r="97" spans="1:92" ht="15.75">
      <c r="A97" s="36"/>
      <c r="B97" s="37">
        <v>40057</v>
      </c>
      <c r="C97" s="77">
        <f t="shared" si="85"/>
        <v>2.7488</v>
      </c>
      <c r="D97" s="78">
        <f>C97*(1+Podsumowanie!E$11)</f>
        <v>2.831264</v>
      </c>
      <c r="E97" s="34">
        <f t="shared" si="53"/>
        <v>-642.4183616215554</v>
      </c>
      <c r="F97" s="7">
        <f t="shared" si="82"/>
        <v>-1818.8559801980914</v>
      </c>
      <c r="G97" s="7">
        <f t="shared" si="55"/>
        <v>-1416.9089445354396</v>
      </c>
      <c r="H97" s="7">
        <f t="shared" si="83"/>
        <v>401.94703566265184</v>
      </c>
      <c r="I97" s="32"/>
      <c r="J97" s="4" t="str">
        <f t="shared" si="108"/>
        <v xml:space="preserve"> </v>
      </c>
      <c r="K97" s="4">
        <f>IF(B97&lt;Podsumowanie!E$7,0,K96+1)</f>
        <v>27</v>
      </c>
      <c r="L97" s="100">
        <f t="shared" si="86"/>
        <v>0.004</v>
      </c>
      <c r="M97" s="38">
        <f>L97+Podsumowanie!E$6</f>
        <v>0.016</v>
      </c>
      <c r="N97" s="101">
        <f>MAX(Podsumowanie!E$4+SUM(AA$5:AA96)-SUM(X$5:X97)+SUM(W$5:W97),0)</f>
        <v>173478.25781658414</v>
      </c>
      <c r="O97" s="102">
        <f>MAX(Podsumowanie!E$2+SUM(V$5:V96)-SUM(S$5:S97)+SUM(R$5:R97),0)</f>
        <v>382621.21674464847</v>
      </c>
      <c r="P97" s="39">
        <f t="shared" si="58"/>
        <v>360</v>
      </c>
      <c r="Q97" s="40" t="str">
        <f>IF(AND(K97&gt;0,K97&lt;=Podsumowanie!E$9),"tak","nie")</f>
        <v>nie</v>
      </c>
      <c r="R97" s="41"/>
      <c r="S97" s="42"/>
      <c r="T97" s="88">
        <f t="shared" si="59"/>
        <v>-510.1616223261979</v>
      </c>
      <c r="U97" s="89">
        <f>IF(Q97="tak",T97,IF(P97-SUM(AB$5:AB97)+1&gt;0,IF(Podsumowanie!E$7&lt;B97,IF(SUM(AB$5:AB97)-Podsumowanie!E$9+1&gt;0,PMT(M97/12,P97+1-SUM(AB$5:AB97),O97),T97),0),0))</f>
        <v>-1416.9089445354396</v>
      </c>
      <c r="V97" s="89">
        <f t="shared" si="84"/>
        <v>-906.7473222092417</v>
      </c>
      <c r="W97" s="90" t="str">
        <f>IF(R97&gt;0,R97/(C97*(1-Podsumowanie!E$11))," ")</f>
        <v xml:space="preserve"> </v>
      </c>
      <c r="X97" s="90">
        <f t="shared" si="94"/>
        <v>0</v>
      </c>
      <c r="Y97" s="91">
        <f t="shared" si="112"/>
        <v>-231.30434375544553</v>
      </c>
      <c r="Z97" s="90">
        <f>IF(P97-SUM(AB$5:AB97)+1&gt;0,IF(Podsumowanie!E$7&lt;B97,IF(SUM(AB$5:AB97)-Podsumowanie!E$9+1&gt;0,PMT(M97/12,P97+1-SUM(AB$5:AB97),N97),Y97),0),0)</f>
        <v>-642.4183616215554</v>
      </c>
      <c r="AA97" s="90">
        <f t="shared" si="80"/>
        <v>-411.11401786610986</v>
      </c>
      <c r="AB97" s="8">
        <f>IF(AND(Podsumowanie!E$7&lt;B97,SUM(AB$5:AB96)&lt;P96),1," ")</f>
        <v>1</v>
      </c>
      <c r="AD97" s="51">
        <f>IF(OR(B97&lt;Podsumowanie!E$12,Podsumowanie!E$12=""),-F97+S97,0)</f>
        <v>1818.8559801980914</v>
      </c>
      <c r="AE97" s="51">
        <f t="shared" si="95"/>
        <v>0</v>
      </c>
      <c r="AG97" s="10">
        <f>Podsumowanie!E$4-SUM(AI$5:AI96)+SUM(W$42:W97)-SUM(X$42:X97)</f>
        <v>168728.4481355522</v>
      </c>
      <c r="AH97" s="10">
        <f t="shared" si="62"/>
        <v>224.97</v>
      </c>
      <c r="AI97" s="10">
        <f t="shared" si="63"/>
        <v>505.17</v>
      </c>
      <c r="AJ97" s="10">
        <f t="shared" si="64"/>
        <v>730.14</v>
      </c>
      <c r="AK97" s="10">
        <f t="shared" si="109"/>
        <v>2067.22</v>
      </c>
      <c r="AL97" s="10">
        <f>Podsumowanie!E$2-SUM(AN$5:AN96)+SUM(R$42:R97)-SUM(S$42:S97)</f>
        <v>372144.75</v>
      </c>
      <c r="AM97" s="10">
        <f t="shared" si="66"/>
        <v>496.19</v>
      </c>
      <c r="AN97" s="10">
        <f t="shared" si="67"/>
        <v>1114.21</v>
      </c>
      <c r="AO97" s="10">
        <f t="shared" si="68"/>
        <v>1610.4</v>
      </c>
      <c r="AP97" s="10">
        <f t="shared" si="69"/>
        <v>456.8199999999997</v>
      </c>
      <c r="AR97" s="43">
        <f t="shared" si="110"/>
        <v>40057</v>
      </c>
      <c r="AS97" s="11">
        <f>AS$5+SUM(AV$5:AV96)-SUM(X$5:X97)+SUM(W$5:W97)</f>
        <v>168273.9100820866</v>
      </c>
      <c r="AT97" s="10">
        <f t="shared" si="71"/>
        <v>-224.36521344278216</v>
      </c>
      <c r="AU97" s="10">
        <f>IF(AB97=1,IF(Q97="tak",AT97,PMT(M97/12,P97+1-SUM(AB$5:AB97),AS97)),0)</f>
        <v>-623.1458107729087</v>
      </c>
      <c r="AV97" s="10">
        <f t="shared" si="72"/>
        <v>-398.7805973301265</v>
      </c>
      <c r="AW97" s="10">
        <f t="shared" si="73"/>
        <v>-1712.9032046525715</v>
      </c>
      <c r="AY97" s="11">
        <f>AY$5+SUM(BA$5:BA96)+SUM(W$5:W96)-SUM(X$5:X96)</f>
        <v>163666.46719148563</v>
      </c>
      <c r="AZ97" s="11">
        <f t="shared" si="74"/>
        <v>-224.36521344278216</v>
      </c>
      <c r="BA97" s="11">
        <f t="shared" si="75"/>
        <v>-490.02</v>
      </c>
      <c r="BB97" s="11">
        <f t="shared" si="76"/>
        <v>-714.3852134427822</v>
      </c>
      <c r="BC97" s="11">
        <f t="shared" si="111"/>
        <v>-1963.7020747115198</v>
      </c>
      <c r="BE97" s="172">
        <f t="shared" si="87"/>
        <v>0.0418</v>
      </c>
      <c r="BF97" s="44">
        <f>BE97+Podsumowanie!$E$6</f>
        <v>0.0538</v>
      </c>
      <c r="BG97" s="11">
        <f>BG$5+SUM(BH$5:BH96)+SUM(R$5:R96)-SUM(S$5:S96)</f>
        <v>390660.012180975</v>
      </c>
      <c r="BH97" s="10">
        <f t="shared" si="81"/>
        <v>-503.98224005844077</v>
      </c>
      <c r="BI97" s="10">
        <f t="shared" si="79"/>
        <v>-1751.4590546113714</v>
      </c>
      <c r="BJ97" s="10">
        <f>IF(U97&lt;0,PMT(BF97/12,Podsumowanie!E$8-SUM(AB$5:AB97)+1,BG97),0)</f>
        <v>-2255.441294669812</v>
      </c>
      <c r="BL97" s="11">
        <f>BL$5+SUM(BN$5:BN96)+SUM(R$5:R96)-SUM(S$5:S96)</f>
        <v>372144.84679665737</v>
      </c>
      <c r="BM97" s="11">
        <f t="shared" si="88"/>
        <v>-1668.4493964716805</v>
      </c>
      <c r="BN97" s="11">
        <f t="shared" si="89"/>
        <v>-1114.2061281337046</v>
      </c>
      <c r="BO97" s="11">
        <f t="shared" si="90"/>
        <v>-2782.655524605385</v>
      </c>
      <c r="BQ97" s="44">
        <f t="shared" si="91"/>
        <v>0.053899999999999997</v>
      </c>
      <c r="BR97" s="11">
        <f>BR$5+SUM(BS$5:BS96)+SUM(R$5:R96)-SUM(S$5:S96)+SUM(BV$5:BV96)</f>
        <v>407951.4343008031</v>
      </c>
      <c r="BS97" s="10">
        <f t="shared" si="101"/>
        <v>-525.3848528214894</v>
      </c>
      <c r="BT97" s="10">
        <f t="shared" si="102"/>
        <v>-1832.3818590677738</v>
      </c>
      <c r="BU97" s="10">
        <f>IF(U97&lt;0,PMT(BQ97/12,Podsumowanie!E$8-SUM(AB$5:AB97)+1,BR97),0)</f>
        <v>-2357.766711889263</v>
      </c>
      <c r="BV97" s="10">
        <f t="shared" si="96"/>
        <v>538.9107316911718</v>
      </c>
      <c r="BX97" s="11">
        <f>BX$5+SUM(BZ$5:BZ96)+SUM(R$5:R96)-SUM(S$5:S96)+SUM(CB$5,CB96)</f>
        <v>373051.7575406184</v>
      </c>
      <c r="BY97" s="10">
        <f t="shared" si="92"/>
        <v>-1675.624144286611</v>
      </c>
      <c r="BZ97" s="10">
        <f t="shared" si="93"/>
        <v>-1116.9214297623305</v>
      </c>
      <c r="CA97" s="10">
        <f t="shared" si="103"/>
        <v>-2792.5455740489415</v>
      </c>
      <c r="CB97" s="10">
        <f t="shared" si="104"/>
        <v>973.6895938508501</v>
      </c>
      <c r="CD97" s="10">
        <f>CD$5+SUM(CE$5:CE96)+SUM(R$5:R96)-SUM(S$5:S96)-SUM(CF$5:CF96)</f>
        <v>405710.4063627811</v>
      </c>
      <c r="CE97" s="10">
        <f t="shared" si="97"/>
        <v>1675.624144286611</v>
      </c>
      <c r="CF97" s="10">
        <f t="shared" si="98"/>
        <v>1818.8559801980914</v>
      </c>
      <c r="CG97" s="10">
        <f t="shared" si="99"/>
        <v>143.2318359114804</v>
      </c>
      <c r="CI97" s="44">
        <v>0.6336</v>
      </c>
      <c r="CJ97" s="10">
        <f t="shared" si="100"/>
        <v>-1152.43</v>
      </c>
      <c r="CK97" s="4">
        <f t="shared" si="105"/>
        <v>0</v>
      </c>
      <c r="CM97" s="10">
        <f t="shared" si="106"/>
        <v>-50784.98539240229</v>
      </c>
      <c r="CN97" s="4">
        <f t="shared" si="107"/>
        <v>-176.9010324502013</v>
      </c>
    </row>
    <row r="98" spans="1:92" ht="15.75">
      <c r="A98" s="36"/>
      <c r="B98" s="37">
        <v>40087</v>
      </c>
      <c r="C98" s="77">
        <f t="shared" si="85"/>
        <v>2.7851</v>
      </c>
      <c r="D98" s="78">
        <f>C98*(1+Podsumowanie!E$11)</f>
        <v>2.868653</v>
      </c>
      <c r="E98" s="34">
        <f t="shared" si="53"/>
        <v>-633.3334091154643</v>
      </c>
      <c r="F98" s="7">
        <f t="shared" si="82"/>
        <v>-1816.813784059304</v>
      </c>
      <c r="G98" s="7">
        <f t="shared" si="55"/>
        <v>-1396.8713004773401</v>
      </c>
      <c r="H98" s="7">
        <f t="shared" si="83"/>
        <v>419.94248358196387</v>
      </c>
      <c r="I98" s="32"/>
      <c r="J98" s="4" t="str">
        <f t="shared" si="108"/>
        <v xml:space="preserve"> </v>
      </c>
      <c r="K98" s="4">
        <f>IF(B98&lt;Podsumowanie!E$7,0,K97+1)</f>
        <v>28</v>
      </c>
      <c r="L98" s="100">
        <f t="shared" si="86"/>
        <v>0.0029</v>
      </c>
      <c r="M98" s="38">
        <f>L98+Podsumowanie!E$6</f>
        <v>0.0149</v>
      </c>
      <c r="N98" s="101">
        <f>MAX(Podsumowanie!E$4+SUM(AA$5:AA97)-SUM(X$5:X98)+SUM(W$5:W98),0)</f>
        <v>173067.14379871803</v>
      </c>
      <c r="O98" s="102">
        <f>MAX(Podsumowanie!E$2+SUM(V$5:V97)-SUM(S$5:S98)+SUM(R$5:R98),0)</f>
        <v>381714.46942243923</v>
      </c>
      <c r="P98" s="39">
        <f t="shared" si="58"/>
        <v>360</v>
      </c>
      <c r="Q98" s="40" t="str">
        <f>IF(AND(K98&gt;0,K98&lt;=Podsumowanie!E$9),"tak","nie")</f>
        <v>nie</v>
      </c>
      <c r="R98" s="41"/>
      <c r="S98" s="42"/>
      <c r="T98" s="88">
        <f t="shared" si="59"/>
        <v>-473.96213286619536</v>
      </c>
      <c r="U98" s="89">
        <f>IF(Q98="tak",T98,IF(P98-SUM(AB$5:AB98)+1&gt;0,IF(Podsumowanie!E$7&lt;B98,IF(SUM(AB$5:AB98)-Podsumowanie!E$9+1&gt;0,PMT(M98/12,P98+1-SUM(AB$5:AB98),O98),T98),0),0))</f>
        <v>-1396.8713004773401</v>
      </c>
      <c r="V98" s="89">
        <f t="shared" si="84"/>
        <v>-922.9091676111448</v>
      </c>
      <c r="W98" s="90" t="str">
        <f>IF(R98&gt;0,R98/(C98*(1-Podsumowanie!E$11))," ")</f>
        <v xml:space="preserve"> </v>
      </c>
      <c r="X98" s="90">
        <f t="shared" si="94"/>
        <v>0</v>
      </c>
      <c r="Y98" s="91">
        <f t="shared" si="112"/>
        <v>-214.89170355007488</v>
      </c>
      <c r="Z98" s="90">
        <f>IF(P98-SUM(AB$5:AB98)+1&gt;0,IF(Podsumowanie!E$7&lt;B98,IF(SUM(AB$5:AB98)-Podsumowanie!E$9+1&gt;0,PMT(M98/12,P98+1-SUM(AB$5:AB98),N98),Y98),0),0)</f>
        <v>-633.3334091154643</v>
      </c>
      <c r="AA98" s="90">
        <f t="shared" si="80"/>
        <v>-418.4417055653894</v>
      </c>
      <c r="AB98" s="8">
        <f>IF(AND(Podsumowanie!E$7&lt;B98,SUM(AB$5:AB97)&lt;P97),1," ")</f>
        <v>1</v>
      </c>
      <c r="AD98" s="51">
        <f>IF(OR(B98&lt;Podsumowanie!E$12,Podsumowanie!E$12=""),-F98+S98,0)</f>
        <v>1816.813784059304</v>
      </c>
      <c r="AE98" s="51">
        <f t="shared" si="95"/>
        <v>0</v>
      </c>
      <c r="AG98" s="10">
        <f>Podsumowanie!E$4-SUM(AI$5:AI97)+SUM(W$42:W98)-SUM(X$42:X98)</f>
        <v>168223.2781355522</v>
      </c>
      <c r="AH98" s="10">
        <f t="shared" si="62"/>
        <v>208.88</v>
      </c>
      <c r="AI98" s="10">
        <f t="shared" si="63"/>
        <v>505.18</v>
      </c>
      <c r="AJ98" s="10">
        <f t="shared" si="64"/>
        <v>714.06</v>
      </c>
      <c r="AK98" s="10">
        <f t="shared" si="109"/>
        <v>2048.39</v>
      </c>
      <c r="AL98" s="10">
        <f>Podsumowanie!E$2-SUM(AN$5:AN97)+SUM(R$42:R98)-SUM(S$42:S98)</f>
        <v>371030.54000000004</v>
      </c>
      <c r="AM98" s="10">
        <f t="shared" si="66"/>
        <v>460.7</v>
      </c>
      <c r="AN98" s="10">
        <f t="shared" si="67"/>
        <v>1114.21</v>
      </c>
      <c r="AO98" s="10">
        <f t="shared" si="68"/>
        <v>1574.91</v>
      </c>
      <c r="AP98" s="10">
        <f t="shared" si="69"/>
        <v>473.4799999999998</v>
      </c>
      <c r="AR98" s="43">
        <f t="shared" si="110"/>
        <v>40087</v>
      </c>
      <c r="AS98" s="11">
        <f>AS$5+SUM(AV$5:AV97)-SUM(X$5:X98)+SUM(W$5:W98)</f>
        <v>167875.12948475647</v>
      </c>
      <c r="AT98" s="10">
        <f t="shared" si="71"/>
        <v>-208.44495244357265</v>
      </c>
      <c r="AU98" s="10">
        <f>IF(AB98=1,IF(Q98="tak",AT98,PMT(M98/12,P98+1-SUM(AB$5:AB98),AS98)),0)</f>
        <v>-614.3334068420004</v>
      </c>
      <c r="AV98" s="10">
        <f t="shared" si="72"/>
        <v>-405.8884543984277</v>
      </c>
      <c r="AW98" s="10">
        <f t="shared" si="73"/>
        <v>-1710.9799713956552</v>
      </c>
      <c r="AY98" s="11">
        <f>AY$5+SUM(BA$5:BA97)+SUM(W$5:W97)-SUM(X$5:X97)</f>
        <v>163176.4471914856</v>
      </c>
      <c r="AZ98" s="11">
        <f t="shared" si="74"/>
        <v>-208.44495244357265</v>
      </c>
      <c r="BA98" s="11">
        <f t="shared" si="75"/>
        <v>-490.02</v>
      </c>
      <c r="BB98" s="11">
        <f t="shared" si="76"/>
        <v>-698.4649524435727</v>
      </c>
      <c r="BC98" s="11">
        <f t="shared" si="111"/>
        <v>-1945.2947390505942</v>
      </c>
      <c r="BE98" s="172">
        <f t="shared" si="87"/>
        <v>0.0418</v>
      </c>
      <c r="BF98" s="44">
        <f>BE98+Podsumowanie!$E$6</f>
        <v>0.0538</v>
      </c>
      <c r="BG98" s="11">
        <f>BG$5+SUM(BH$5:BH97)+SUM(R$5:R97)-SUM(S$5:S97)</f>
        <v>390156.0299409166</v>
      </c>
      <c r="BH98" s="10">
        <f t="shared" si="81"/>
        <v>-506.24176043470334</v>
      </c>
      <c r="BI98" s="10">
        <f t="shared" si="79"/>
        <v>-1749.1995342351092</v>
      </c>
      <c r="BJ98" s="10">
        <f>IF(U98&lt;0,PMT(BF98/12,Podsumowanie!E$8-SUM(AB$5:AB98)+1,BG98),0)</f>
        <v>-2255.4412946698126</v>
      </c>
      <c r="BL98" s="11">
        <f>BL$5+SUM(BN$5:BN97)+SUM(R$5:R97)-SUM(S$5:S97)</f>
        <v>371030.6406685237</v>
      </c>
      <c r="BM98" s="11">
        <f t="shared" si="88"/>
        <v>-1663.4540389972144</v>
      </c>
      <c r="BN98" s="11">
        <f t="shared" si="89"/>
        <v>-1114.2061281337046</v>
      </c>
      <c r="BO98" s="11">
        <f t="shared" si="90"/>
        <v>-2777.660167130919</v>
      </c>
      <c r="BQ98" s="44">
        <f t="shared" si="91"/>
        <v>0.053899999999999997</v>
      </c>
      <c r="BR98" s="11">
        <f>BR$5+SUM(BS$5:BS97)+SUM(R$5:R97)-SUM(S$5:S97)+SUM(BV$5:BV97)</f>
        <v>407964.9601796728</v>
      </c>
      <c r="BS98" s="10">
        <f t="shared" si="101"/>
        <v>-528.4427651213416</v>
      </c>
      <c r="BT98" s="10">
        <f t="shared" si="102"/>
        <v>-1832.4426128070302</v>
      </c>
      <c r="BU98" s="10">
        <f>IF(U98&lt;0,PMT(BQ98/12,Podsumowanie!E$8-SUM(AB$5:AB98)+1,BR98),0)</f>
        <v>-2360.885377928372</v>
      </c>
      <c r="BV98" s="10">
        <f t="shared" si="96"/>
        <v>544.0715938690678</v>
      </c>
      <c r="BX98" s="11">
        <f>BX$5+SUM(BZ$5:BZ97)+SUM(R$5:R97)-SUM(S$5:S97)+SUM(CB$5,CB97)</f>
        <v>371910.71595203783</v>
      </c>
      <c r="BY98" s="10">
        <f t="shared" si="92"/>
        <v>-1670.4989658179031</v>
      </c>
      <c r="BZ98" s="10">
        <f t="shared" si="93"/>
        <v>-1116.8489968529664</v>
      </c>
      <c r="CA98" s="10">
        <f t="shared" si="103"/>
        <v>-2787.3479626708695</v>
      </c>
      <c r="CB98" s="10">
        <f t="shared" si="104"/>
        <v>970.5341786115655</v>
      </c>
      <c r="CD98" s="10">
        <f>CD$5+SUM(CE$5:CE97)+SUM(R$5:R97)-SUM(S$5:S97)-SUM(CF$5:CF97)</f>
        <v>405567.17452686967</v>
      </c>
      <c r="CE98" s="10">
        <f t="shared" si="97"/>
        <v>1670.4989658179031</v>
      </c>
      <c r="CF98" s="10">
        <f t="shared" si="98"/>
        <v>1816.813784059304</v>
      </c>
      <c r="CG98" s="10">
        <f t="shared" si="99"/>
        <v>146.31481824140087</v>
      </c>
      <c r="CI98" s="44">
        <v>0.6336</v>
      </c>
      <c r="CJ98" s="10">
        <f t="shared" si="100"/>
        <v>-1151.13</v>
      </c>
      <c r="CK98" s="4">
        <f t="shared" si="105"/>
        <v>0</v>
      </c>
      <c r="CM98" s="10">
        <f t="shared" si="106"/>
        <v>-52601.799176461594</v>
      </c>
      <c r="CN98" s="4">
        <f t="shared" si="107"/>
        <v>-183.22960046467452</v>
      </c>
    </row>
    <row r="99" spans="1:92" ht="15.75">
      <c r="A99" s="36"/>
      <c r="B99" s="37">
        <v>40118</v>
      </c>
      <c r="C99" s="77">
        <f t="shared" si="85"/>
        <v>2.7628</v>
      </c>
      <c r="D99" s="78">
        <f>C99*(1+Podsumowanie!E$11)</f>
        <v>2.845684</v>
      </c>
      <c r="E99" s="34">
        <f t="shared" si="53"/>
        <v>-633.3334091154642</v>
      </c>
      <c r="F99" s="7">
        <f t="shared" si="82"/>
        <v>-1802.2667489853304</v>
      </c>
      <c r="G99" s="7">
        <f t="shared" si="55"/>
        <v>-1396.8713004773401</v>
      </c>
      <c r="H99" s="7">
        <f t="shared" si="83"/>
        <v>405.3954485079903</v>
      </c>
      <c r="I99" s="32"/>
      <c r="J99" s="4" t="str">
        <f t="shared" si="108"/>
        <v xml:space="preserve"> </v>
      </c>
      <c r="K99" s="4">
        <f>IF(B99&lt;Podsumowanie!E$7,0,K98+1)</f>
        <v>29</v>
      </c>
      <c r="L99" s="100">
        <f t="shared" si="86"/>
        <v>0.0029</v>
      </c>
      <c r="M99" s="38">
        <f>L99+Podsumowanie!E$6</f>
        <v>0.0149</v>
      </c>
      <c r="N99" s="101">
        <f>MAX(Podsumowanie!E$4+SUM(AA$5:AA98)-SUM(X$5:X99)+SUM(W$5:W99),0)</f>
        <v>172648.70209315262</v>
      </c>
      <c r="O99" s="102">
        <f>MAX(Podsumowanie!E$2+SUM(V$5:V98)-SUM(S$5:S99)+SUM(R$5:R99),0)</f>
        <v>380791.5602548281</v>
      </c>
      <c r="P99" s="39">
        <f t="shared" si="58"/>
        <v>360</v>
      </c>
      <c r="Q99" s="40" t="str">
        <f>IF(AND(K99&gt;0,K99&lt;=Podsumowanie!E$9),"tak","nie")</f>
        <v>nie</v>
      </c>
      <c r="R99" s="41"/>
      <c r="S99" s="42"/>
      <c r="T99" s="88">
        <f t="shared" si="59"/>
        <v>-472.8161873164115</v>
      </c>
      <c r="U99" s="89">
        <f>IF(Q99="tak",T99,IF(P99-SUM(AB$5:AB99)+1&gt;0,IF(Podsumowanie!E$7&lt;B99,IF(SUM(AB$5:AB99)-Podsumowanie!E$9+1&gt;0,PMT(M99/12,P99+1-SUM(AB$5:AB99),O99),T99),0),0))</f>
        <v>-1396.8713004773401</v>
      </c>
      <c r="V99" s="89">
        <f t="shared" si="84"/>
        <v>-924.0551131609286</v>
      </c>
      <c r="W99" s="90" t="str">
        <f>IF(R99&gt;0,R99/(C99*(1-Podsumowanie!E$11))," ")</f>
        <v xml:space="preserve"> </v>
      </c>
      <c r="X99" s="90">
        <f t="shared" si="94"/>
        <v>0</v>
      </c>
      <c r="Y99" s="91">
        <f t="shared" si="112"/>
        <v>-214.37213843233118</v>
      </c>
      <c r="Z99" s="90">
        <f>IF(P99-SUM(AB$5:AB99)+1&gt;0,IF(Podsumowanie!E$7&lt;B99,IF(SUM(AB$5:AB99)-Podsumowanie!E$9+1&gt;0,PMT(M99/12,P99+1-SUM(AB$5:AB99),N99),Y99),0),0)</f>
        <v>-633.3334091154642</v>
      </c>
      <c r="AA99" s="90">
        <f t="shared" si="80"/>
        <v>-418.96127068313297</v>
      </c>
      <c r="AB99" s="8">
        <f>IF(AND(Podsumowanie!E$7&lt;B99,SUM(AB$5:AB98)&lt;P98),1," ")</f>
        <v>1</v>
      </c>
      <c r="AD99" s="51">
        <f>IF(OR(B99&lt;Podsumowanie!E$12,Podsumowanie!E$12=""),-F99+S99,0)</f>
        <v>1802.2667489853304</v>
      </c>
      <c r="AE99" s="51">
        <f t="shared" si="95"/>
        <v>0</v>
      </c>
      <c r="AG99" s="10">
        <f>Podsumowanie!E$4-SUM(AI$5:AI98)+SUM(W$42:W99)-SUM(X$42:X99)</f>
        <v>167718.0981355522</v>
      </c>
      <c r="AH99" s="10">
        <f t="shared" si="62"/>
        <v>208.25</v>
      </c>
      <c r="AI99" s="10">
        <f t="shared" si="63"/>
        <v>505.17</v>
      </c>
      <c r="AJ99" s="10">
        <f t="shared" si="64"/>
        <v>713.4200000000001</v>
      </c>
      <c r="AK99" s="10">
        <f t="shared" si="109"/>
        <v>2030.17</v>
      </c>
      <c r="AL99" s="10">
        <f>Podsumowanie!E$2-SUM(AN$5:AN98)+SUM(R$42:R99)-SUM(S$42:S99)</f>
        <v>369916.33</v>
      </c>
      <c r="AM99" s="10">
        <f t="shared" si="66"/>
        <v>459.31</v>
      </c>
      <c r="AN99" s="10">
        <f t="shared" si="67"/>
        <v>1114.21</v>
      </c>
      <c r="AO99" s="10">
        <f t="shared" si="68"/>
        <v>1573.52</v>
      </c>
      <c r="AP99" s="10">
        <f t="shared" si="69"/>
        <v>456.6500000000001</v>
      </c>
      <c r="AR99" s="43">
        <f t="shared" si="110"/>
        <v>40118</v>
      </c>
      <c r="AS99" s="11">
        <f>AS$5+SUM(AV$5:AV98)-SUM(X$5:X99)+SUM(W$5:W99)</f>
        <v>167469.24103035804</v>
      </c>
      <c r="AT99" s="10">
        <f t="shared" si="71"/>
        <v>-207.94097427936126</v>
      </c>
      <c r="AU99" s="10">
        <f>IF(AB99=1,IF(Q99="tak",AT99,PMT(M99/12,P99+1-SUM(AB$5:AB99),AS99)),0)</f>
        <v>-614.3334068420003</v>
      </c>
      <c r="AV99" s="10">
        <f t="shared" si="72"/>
        <v>-406.392432562639</v>
      </c>
      <c r="AW99" s="10">
        <f t="shared" si="73"/>
        <v>-1697.2803364230783</v>
      </c>
      <c r="AY99" s="11">
        <f>AY$5+SUM(BA$5:BA98)+SUM(W$5:W98)-SUM(X$5:X98)</f>
        <v>162686.42719148562</v>
      </c>
      <c r="AZ99" s="11">
        <f t="shared" si="74"/>
        <v>-207.94097427936126</v>
      </c>
      <c r="BA99" s="11">
        <f t="shared" si="75"/>
        <v>-490.02</v>
      </c>
      <c r="BB99" s="11">
        <f t="shared" si="76"/>
        <v>-697.9609742793613</v>
      </c>
      <c r="BC99" s="11">
        <f t="shared" si="111"/>
        <v>-1928.3265797390193</v>
      </c>
      <c r="BE99" s="172">
        <f t="shared" si="87"/>
        <v>0.0419</v>
      </c>
      <c r="BF99" s="44">
        <f>BE99+Podsumowanie!$E$6</f>
        <v>0.0539</v>
      </c>
      <c r="BG99" s="11">
        <f>BG$5+SUM(BH$5:BH98)+SUM(R$5:R98)-SUM(S$5:S98)</f>
        <v>389649.7881804819</v>
      </c>
      <c r="BH99" s="10">
        <f t="shared" si="81"/>
        <v>-507.64345121171255</v>
      </c>
      <c r="BI99" s="10">
        <f t="shared" si="79"/>
        <v>-1750.176965243998</v>
      </c>
      <c r="BJ99" s="10">
        <f>IF(U99&lt;0,PMT(BF99/12,Podsumowanie!E$8-SUM(AB$5:AB99)+1,BG99),0)</f>
        <v>-2257.8204164557105</v>
      </c>
      <c r="BL99" s="11">
        <f>BL$5+SUM(BN$5:BN98)+SUM(R$5:R98)-SUM(S$5:S98)</f>
        <v>369916.43454039</v>
      </c>
      <c r="BM99" s="11">
        <f t="shared" si="88"/>
        <v>-1661.5413184772517</v>
      </c>
      <c r="BN99" s="11">
        <f t="shared" si="89"/>
        <v>-1114.2061281337049</v>
      </c>
      <c r="BO99" s="11">
        <f t="shared" si="90"/>
        <v>-2775.7474466109566</v>
      </c>
      <c r="BQ99" s="44">
        <f t="shared" si="91"/>
        <v>0.054</v>
      </c>
      <c r="BR99" s="11">
        <f>BR$5+SUM(BS$5:BS98)+SUM(R$5:R98)-SUM(S$5:S98)+SUM(BV$5:BV98)</f>
        <v>407980.58900842053</v>
      </c>
      <c r="BS99" s="10">
        <f t="shared" si="101"/>
        <v>-530.6176445082731</v>
      </c>
      <c r="BT99" s="10">
        <f t="shared" si="102"/>
        <v>-1835.9126505378924</v>
      </c>
      <c r="BU99" s="10">
        <f>IF(U99&lt;0,PMT(BQ99/12,Podsumowanie!E$8-SUM(AB$5:AB99)+1,BR99),0)</f>
        <v>-2366.5302950461655</v>
      </c>
      <c r="BV99" s="10">
        <f t="shared" si="96"/>
        <v>564.2635460608351</v>
      </c>
      <c r="BX99" s="11">
        <f>BX$5+SUM(BZ$5:BZ98)+SUM(R$5:R98)-SUM(S$5:S98)+SUM(CB$5,CB98)</f>
        <v>370790.71153994557</v>
      </c>
      <c r="BY99" s="10">
        <f t="shared" si="92"/>
        <v>-1668.5582019297551</v>
      </c>
      <c r="BZ99" s="10">
        <f t="shared" si="93"/>
        <v>-1116.8394925901976</v>
      </c>
      <c r="CA99" s="10">
        <f t="shared" si="103"/>
        <v>-2785.397694519953</v>
      </c>
      <c r="CB99" s="10">
        <f t="shared" si="104"/>
        <v>983.1309455346225</v>
      </c>
      <c r="CD99" s="10">
        <f>CD$5+SUM(CE$5:CE98)+SUM(R$5:R98)-SUM(S$5:S98)-SUM(CF$5:CF98)</f>
        <v>405420.85970862827</v>
      </c>
      <c r="CE99" s="10">
        <f t="shared" si="97"/>
        <v>1668.5582019297551</v>
      </c>
      <c r="CF99" s="10">
        <f t="shared" si="98"/>
        <v>1802.2667489853304</v>
      </c>
      <c r="CG99" s="10">
        <f t="shared" si="99"/>
        <v>133.7085470555753</v>
      </c>
      <c r="CI99" s="44">
        <v>0.6319</v>
      </c>
      <c r="CJ99" s="10">
        <f t="shared" si="100"/>
        <v>-1138.85</v>
      </c>
      <c r="CK99" s="4">
        <f t="shared" si="105"/>
        <v>0</v>
      </c>
      <c r="CM99" s="10">
        <f t="shared" si="106"/>
        <v>-54404.06592544693</v>
      </c>
      <c r="CN99" s="4">
        <f t="shared" si="107"/>
        <v>-189.96086352301884</v>
      </c>
    </row>
    <row r="100" spans="1:92" ht="15.75">
      <c r="A100" s="36"/>
      <c r="B100" s="37">
        <v>40148</v>
      </c>
      <c r="C100" s="77">
        <f t="shared" si="85"/>
        <v>2.7584</v>
      </c>
      <c r="D100" s="78">
        <f>C100*(1+Podsumowanie!E$11)</f>
        <v>2.841152</v>
      </c>
      <c r="E100" s="34">
        <f t="shared" si="53"/>
        <v>-633.3334091154642</v>
      </c>
      <c r="F100" s="7">
        <f t="shared" si="82"/>
        <v>-1799.3964819752193</v>
      </c>
      <c r="G100" s="7">
        <f t="shared" si="55"/>
        <v>-1396.8713004773401</v>
      </c>
      <c r="H100" s="7">
        <f t="shared" si="83"/>
        <v>402.5251814978792</v>
      </c>
      <c r="I100" s="32"/>
      <c r="J100" s="4" t="str">
        <f t="shared" si="108"/>
        <v xml:space="preserve"> </v>
      </c>
      <c r="K100" s="4">
        <f>IF(B100&lt;Podsumowanie!E$7,0,K99+1)</f>
        <v>30</v>
      </c>
      <c r="L100" s="100">
        <f t="shared" si="86"/>
        <v>0.0029</v>
      </c>
      <c r="M100" s="38">
        <f>L100+Podsumowanie!E$6</f>
        <v>0.0149</v>
      </c>
      <c r="N100" s="101">
        <f>MAX(Podsumowanie!E$4+SUM(AA$5:AA99)-SUM(X$5:X100)+SUM(W$5:W100),0)</f>
        <v>172229.7408224695</v>
      </c>
      <c r="O100" s="102">
        <f>MAX(Podsumowanie!E$2+SUM(V$5:V99)-SUM(S$5:S100)+SUM(R$5:R100),0)</f>
        <v>379867.50514166715</v>
      </c>
      <c r="P100" s="39">
        <f t="shared" si="58"/>
        <v>360</v>
      </c>
      <c r="Q100" s="40" t="str">
        <f>IF(AND(K100&gt;0,K100&lt;=Podsumowanie!E$9),"tak","nie")</f>
        <v>nie</v>
      </c>
      <c r="R100" s="41"/>
      <c r="S100" s="42"/>
      <c r="T100" s="88">
        <f t="shared" si="59"/>
        <v>-471.6688188842367</v>
      </c>
      <c r="U100" s="89">
        <f>IF(Q100="tak",T100,IF(P100-SUM(AB$5:AB100)+1&gt;0,IF(Podsumowanie!E$7&lt;B100,IF(SUM(AB$5:AB100)-Podsumowanie!E$9+1&gt;0,PMT(M100/12,P100+1-SUM(AB$5:AB100),O100),T100),0),0))</f>
        <v>-1396.8713004773401</v>
      </c>
      <c r="V100" s="89">
        <f t="shared" si="84"/>
        <v>-925.2024815931034</v>
      </c>
      <c r="W100" s="90" t="str">
        <f>IF(R100&gt;0,R100/(C100*(1-Podsumowanie!E$11))," ")</f>
        <v xml:space="preserve"> </v>
      </c>
      <c r="X100" s="90">
        <f t="shared" si="94"/>
        <v>0</v>
      </c>
      <c r="Y100" s="91">
        <f t="shared" si="112"/>
        <v>-213.85192818789963</v>
      </c>
      <c r="Z100" s="90">
        <f>IF(P100-SUM(AB$5:AB100)+1&gt;0,IF(Podsumowanie!E$7&lt;B100,IF(SUM(AB$5:AB100)-Podsumowanie!E$9+1&gt;0,PMT(M100/12,P100+1-SUM(AB$5:AB100),N100),Y100),0),0)</f>
        <v>-633.3334091154642</v>
      </c>
      <c r="AA100" s="90">
        <f t="shared" si="80"/>
        <v>-419.4814809275646</v>
      </c>
      <c r="AB100" s="8">
        <f>IF(AND(Podsumowanie!E$7&lt;B100,SUM(AB$5:AB99)&lt;P99),1," ")</f>
        <v>1</v>
      </c>
      <c r="AD100" s="51">
        <f>IF(OR(B100&lt;Podsumowanie!E$12,Podsumowanie!E$12=""),-F100+S100,0)</f>
        <v>1799.3964819752193</v>
      </c>
      <c r="AE100" s="51">
        <f t="shared" si="95"/>
        <v>0</v>
      </c>
      <c r="AG100" s="10">
        <f>Podsumowanie!E$4-SUM(AI$5:AI99)+SUM(W$42:W100)-SUM(X$42:X100)</f>
        <v>167212.9281355522</v>
      </c>
      <c r="AH100" s="10">
        <f t="shared" si="62"/>
        <v>207.62</v>
      </c>
      <c r="AI100" s="10">
        <f t="shared" si="63"/>
        <v>505.18</v>
      </c>
      <c r="AJ100" s="10">
        <f t="shared" si="64"/>
        <v>712.8</v>
      </c>
      <c r="AK100" s="10">
        <f t="shared" si="109"/>
        <v>2025.17</v>
      </c>
      <c r="AL100" s="10">
        <f>Podsumowanie!E$2-SUM(AN$5:AN99)+SUM(R$42:R100)-SUM(S$42:S100)</f>
        <v>368802.12</v>
      </c>
      <c r="AM100" s="10">
        <f t="shared" si="66"/>
        <v>457.93</v>
      </c>
      <c r="AN100" s="10">
        <f t="shared" si="67"/>
        <v>1114.21</v>
      </c>
      <c r="AO100" s="10">
        <f t="shared" si="68"/>
        <v>1572.14</v>
      </c>
      <c r="AP100" s="10">
        <f t="shared" si="69"/>
        <v>453.03</v>
      </c>
      <c r="AR100" s="43">
        <f t="shared" si="110"/>
        <v>40148</v>
      </c>
      <c r="AS100" s="11">
        <f>AS$5+SUM(AV$5:AV99)-SUM(X$5:X100)+SUM(W$5:W100)</f>
        <v>167062.8485977954</v>
      </c>
      <c r="AT100" s="10">
        <f t="shared" si="71"/>
        <v>-207.43637034226265</v>
      </c>
      <c r="AU100" s="10">
        <f>IF(AB100=1,IF(Q100="tak",AT100,PMT(M100/12,P100+1-SUM(AB$5:AB100),AS100)),0)</f>
        <v>-614.3334068420004</v>
      </c>
      <c r="AV100" s="10">
        <f t="shared" si="72"/>
        <v>-406.89703649973774</v>
      </c>
      <c r="AW100" s="10">
        <f t="shared" si="73"/>
        <v>-1694.577269432974</v>
      </c>
      <c r="AY100" s="11">
        <f>AY$5+SUM(BA$5:BA99)+SUM(W$5:W99)-SUM(X$5:X99)</f>
        <v>162196.40719148563</v>
      </c>
      <c r="AZ100" s="11">
        <f t="shared" si="74"/>
        <v>-207.43637034226265</v>
      </c>
      <c r="BA100" s="11">
        <f t="shared" si="75"/>
        <v>-490.02</v>
      </c>
      <c r="BB100" s="11">
        <f t="shared" si="76"/>
        <v>-697.4563703422626</v>
      </c>
      <c r="BC100" s="11">
        <f t="shared" si="111"/>
        <v>-1923.8636519520971</v>
      </c>
      <c r="BE100" s="172">
        <f t="shared" si="87"/>
        <v>0.0423</v>
      </c>
      <c r="BF100" s="44">
        <f>BE100+Podsumowanie!$E$6</f>
        <v>0.0543</v>
      </c>
      <c r="BG100" s="11">
        <f>BG$5+SUM(BH$5:BH99)+SUM(R$5:R99)-SUM(S$5:S99)</f>
        <v>389142.1447292702</v>
      </c>
      <c r="BH100" s="10">
        <f t="shared" si="81"/>
        <v>-506.4605234670578</v>
      </c>
      <c r="BI100" s="10">
        <f t="shared" si="79"/>
        <v>-1760.8682048999478</v>
      </c>
      <c r="BJ100" s="10">
        <f>IF(U100&lt;0,PMT(BF100/12,Podsumowanie!E$8-SUM(AB$5:AB100)+1,BG100),0)</f>
        <v>-2267.3287283670056</v>
      </c>
      <c r="BL100" s="11">
        <f>BL$5+SUM(BN$5:BN99)+SUM(R$5:R99)-SUM(S$5:S99)</f>
        <v>368802.2284122563</v>
      </c>
      <c r="BM100" s="11">
        <f t="shared" si="88"/>
        <v>-1668.8300835654597</v>
      </c>
      <c r="BN100" s="11">
        <f t="shared" si="89"/>
        <v>-1114.2061281337049</v>
      </c>
      <c r="BO100" s="11">
        <f t="shared" si="90"/>
        <v>-2783.0362116991646</v>
      </c>
      <c r="BQ100" s="44">
        <f t="shared" si="91"/>
        <v>0.0544</v>
      </c>
      <c r="BR100" s="11">
        <f>BR$5+SUM(BS$5:BS99)+SUM(R$5:R99)-SUM(S$5:S99)+SUM(BV$5:BV99)</f>
        <v>408014.2349099731</v>
      </c>
      <c r="BS100" s="10">
        <f t="shared" si="101"/>
        <v>-530.1175282782767</v>
      </c>
      <c r="BT100" s="10">
        <f t="shared" si="102"/>
        <v>-1849.664531591878</v>
      </c>
      <c r="BU100" s="10">
        <f>IF(U100&lt;0,PMT(BQ100/12,Podsumowanie!E$8-SUM(AB$5:AB100)+1,BR100),0)</f>
        <v>-2379.7820598701546</v>
      </c>
      <c r="BV100" s="10">
        <f t="shared" si="96"/>
        <v>580.3855778949353</v>
      </c>
      <c r="BX100" s="11">
        <f>BX$5+SUM(BZ$5:BZ99)+SUM(R$5:R99)-SUM(S$5:S99)+SUM(CB$5,CB99)</f>
        <v>369686.4688142784</v>
      </c>
      <c r="BY100" s="10">
        <f t="shared" si="92"/>
        <v>-1675.9119919580623</v>
      </c>
      <c r="BZ100" s="10">
        <f t="shared" si="93"/>
        <v>-1116.8775492878503</v>
      </c>
      <c r="CA100" s="10">
        <f t="shared" si="103"/>
        <v>-2792.789541245913</v>
      </c>
      <c r="CB100" s="10">
        <f t="shared" si="104"/>
        <v>993.3930592706936</v>
      </c>
      <c r="CD100" s="10">
        <f>CD$5+SUM(CE$5:CE99)+SUM(R$5:R99)-SUM(S$5:S99)-SUM(CF$5:CF99)</f>
        <v>405287.1511615727</v>
      </c>
      <c r="CE100" s="10">
        <f t="shared" si="97"/>
        <v>1675.9119919580623</v>
      </c>
      <c r="CF100" s="10">
        <f t="shared" si="98"/>
        <v>1799.3964819752193</v>
      </c>
      <c r="CG100" s="10">
        <f t="shared" si="99"/>
        <v>123.48449001715699</v>
      </c>
      <c r="CI100" s="44">
        <v>0.6271</v>
      </c>
      <c r="CJ100" s="10">
        <f t="shared" si="100"/>
        <v>-1128.4</v>
      </c>
      <c r="CK100" s="4">
        <f t="shared" si="105"/>
        <v>0</v>
      </c>
      <c r="CM100" s="10">
        <f t="shared" si="106"/>
        <v>-56203.46240742215</v>
      </c>
      <c r="CN100" s="4">
        <f t="shared" si="107"/>
        <v>-198.11720498616307</v>
      </c>
    </row>
    <row r="101" spans="1:92" ht="15.75">
      <c r="A101" s="36">
        <v>2010</v>
      </c>
      <c r="B101" s="37">
        <v>40179</v>
      </c>
      <c r="C101" s="77">
        <f t="shared" si="85"/>
        <v>2.7573</v>
      </c>
      <c r="D101" s="78">
        <f>C101*(1+Podsumowanie!E$11)</f>
        <v>2.840019</v>
      </c>
      <c r="E101" s="34">
        <f t="shared" si="53"/>
        <v>-633.3334091154643</v>
      </c>
      <c r="F101" s="7">
        <f t="shared" si="82"/>
        <v>-1798.6789152226918</v>
      </c>
      <c r="G101" s="7">
        <f t="shared" si="55"/>
        <v>-1396.8713004773404</v>
      </c>
      <c r="H101" s="7">
        <f t="shared" si="83"/>
        <v>401.80761474535143</v>
      </c>
      <c r="I101" s="32"/>
      <c r="J101" s="4" t="str">
        <f t="shared" si="108"/>
        <v xml:space="preserve"> </v>
      </c>
      <c r="K101" s="4">
        <f>IF(B101&lt;Podsumowanie!E$7,0,K100+1)</f>
        <v>31</v>
      </c>
      <c r="L101" s="100">
        <f t="shared" si="86"/>
        <v>0.0029</v>
      </c>
      <c r="M101" s="38">
        <f>L101+Podsumowanie!E$6</f>
        <v>0.0149</v>
      </c>
      <c r="N101" s="101">
        <f>MAX(Podsumowanie!E$4+SUM(AA$5:AA100)-SUM(X$5:X101)+SUM(W$5:W101),0)</f>
        <v>171810.25934154194</v>
      </c>
      <c r="O101" s="102">
        <f>MAX(Podsumowanie!E$2+SUM(V$5:V100)-SUM(S$5:S101)+SUM(R$5:R101),0)</f>
        <v>378942.3026600741</v>
      </c>
      <c r="P101" s="39">
        <f t="shared" si="58"/>
        <v>360</v>
      </c>
      <c r="Q101" s="40" t="str">
        <f>IF(AND(K101&gt;0,K101&lt;=Podsumowanie!E$9),"tak","nie")</f>
        <v>nie</v>
      </c>
      <c r="R101" s="41"/>
      <c r="S101" s="42"/>
      <c r="T101" s="88">
        <f t="shared" si="59"/>
        <v>-470.5200258029253</v>
      </c>
      <c r="U101" s="89">
        <f>IF(Q101="tak",T101,IF(P101-SUM(AB$5:AB101)+1&gt;0,IF(Podsumowanie!E$7&lt;B101,IF(SUM(AB$5:AB101)-Podsumowanie!E$9+1&gt;0,PMT(M101/12,P101+1-SUM(AB$5:AB101),O101),T101),0),0))</f>
        <v>-1396.8713004773404</v>
      </c>
      <c r="V101" s="89">
        <f t="shared" si="84"/>
        <v>-926.351274674415</v>
      </c>
      <c r="W101" s="90" t="str">
        <f>IF(R101&gt;0,R101/(C101*(1-Podsumowanie!E$11))," ")</f>
        <v xml:space="preserve"> </v>
      </c>
      <c r="X101" s="90">
        <f t="shared" si="94"/>
        <v>0</v>
      </c>
      <c r="Y101" s="91">
        <f t="shared" si="112"/>
        <v>-213.33107201574794</v>
      </c>
      <c r="Z101" s="90">
        <f>IF(P101-SUM(AB$5:AB101)+1&gt;0,IF(Podsumowanie!E$7&lt;B101,IF(SUM(AB$5:AB101)-Podsumowanie!E$9+1&gt;0,PMT(M101/12,P101+1-SUM(AB$5:AB101),N101),Y101),0),0)</f>
        <v>-633.3334091154643</v>
      </c>
      <c r="AA101" s="90">
        <f t="shared" si="80"/>
        <v>-420.0023370997163</v>
      </c>
      <c r="AB101" s="8">
        <f>IF(AND(Podsumowanie!E$7&lt;B101,SUM(AB$5:AB100)&lt;P100),1," ")</f>
        <v>1</v>
      </c>
      <c r="AD101" s="51">
        <f>IF(OR(B101&lt;Podsumowanie!E$12,Podsumowanie!E$12=""),-F101+S101,0)</f>
        <v>1798.6789152226918</v>
      </c>
      <c r="AE101" s="51">
        <f t="shared" si="95"/>
        <v>0</v>
      </c>
      <c r="AG101" s="10">
        <f>Podsumowanie!E$4-SUM(AI$5:AI100)+SUM(W$42:W101)-SUM(X$42:X101)</f>
        <v>166707.7481355522</v>
      </c>
      <c r="AH101" s="10">
        <f t="shared" si="62"/>
        <v>207</v>
      </c>
      <c r="AI101" s="10">
        <f t="shared" si="63"/>
        <v>505.17</v>
      </c>
      <c r="AJ101" s="10">
        <f t="shared" si="64"/>
        <v>712.1700000000001</v>
      </c>
      <c r="AK101" s="10">
        <f t="shared" si="109"/>
        <v>2022.58</v>
      </c>
      <c r="AL101" s="10">
        <f>Podsumowanie!E$2-SUM(AN$5:AN100)+SUM(R$42:R101)-SUM(S$42:S101)</f>
        <v>367687.91000000003</v>
      </c>
      <c r="AM101" s="10">
        <f t="shared" si="66"/>
        <v>456.55</v>
      </c>
      <c r="AN101" s="10">
        <f t="shared" si="67"/>
        <v>1114.21</v>
      </c>
      <c r="AO101" s="10">
        <f t="shared" si="68"/>
        <v>1570.76</v>
      </c>
      <c r="AP101" s="10">
        <f t="shared" si="69"/>
        <v>451.81999999999994</v>
      </c>
      <c r="AR101" s="43">
        <f t="shared" si="110"/>
        <v>40179</v>
      </c>
      <c r="AS101" s="11">
        <f>AS$5+SUM(AV$5:AV100)-SUM(X$5:X101)+SUM(W$5:W101)</f>
        <v>166655.95156129566</v>
      </c>
      <c r="AT101" s="10">
        <f t="shared" si="71"/>
        <v>-206.93113985527543</v>
      </c>
      <c r="AU101" s="10">
        <f>IF(AB101=1,IF(Q101="tak",AT101,PMT(M101/12,P101+1-SUM(AB$5:AB101),AS101)),0)</f>
        <v>-614.3334068420003</v>
      </c>
      <c r="AV101" s="10">
        <f t="shared" si="72"/>
        <v>-407.40226698672484</v>
      </c>
      <c r="AW101" s="10">
        <f t="shared" si="73"/>
        <v>-1693.9015026854472</v>
      </c>
      <c r="AY101" s="11">
        <f>AY$5+SUM(BA$5:BA100)+SUM(W$5:W100)-SUM(X$5:X100)</f>
        <v>161706.3871914856</v>
      </c>
      <c r="AZ101" s="11">
        <f t="shared" si="74"/>
        <v>-206.93113985527543</v>
      </c>
      <c r="BA101" s="11">
        <f t="shared" si="75"/>
        <v>-490.02</v>
      </c>
      <c r="BB101" s="11">
        <f t="shared" si="76"/>
        <v>-696.9511398552754</v>
      </c>
      <c r="BC101" s="11">
        <f t="shared" si="111"/>
        <v>-1921.7033779229507</v>
      </c>
      <c r="BE101" s="172">
        <f t="shared" si="87"/>
        <v>0.0424</v>
      </c>
      <c r="BF101" s="44">
        <f>BE101+Podsumowanie!$E$6</f>
        <v>0.054400000000000004</v>
      </c>
      <c r="BG101" s="11">
        <f>BG$5+SUM(BH$5:BH100)+SUM(R$5:R100)-SUM(S$5:S100)</f>
        <v>388635.6842058031</v>
      </c>
      <c r="BH101" s="10">
        <f t="shared" si="81"/>
        <v>-507.88864780482413</v>
      </c>
      <c r="BI101" s="10">
        <f t="shared" si="79"/>
        <v>-1761.815101732974</v>
      </c>
      <c r="BJ101" s="10">
        <f>IF(U101&lt;0,PMT(BF101/12,Podsumowanie!E$8-SUM(AB$5:AB101)+1,BG101),0)</f>
        <v>-2269.703749537798</v>
      </c>
      <c r="BL101" s="11">
        <f>BL$5+SUM(BN$5:BN100)+SUM(R$5:R100)-SUM(S$5:S100)</f>
        <v>367688.0222841226</v>
      </c>
      <c r="BM101" s="11">
        <f t="shared" si="88"/>
        <v>-1666.8523676880225</v>
      </c>
      <c r="BN101" s="11">
        <f t="shared" si="89"/>
        <v>-1114.2061281337049</v>
      </c>
      <c r="BO101" s="11">
        <f t="shared" si="90"/>
        <v>-2781.0584958217273</v>
      </c>
      <c r="BQ101" s="44">
        <f t="shared" si="91"/>
        <v>0.0545</v>
      </c>
      <c r="BR101" s="11">
        <f>BR$5+SUM(BS$5:BS100)+SUM(R$5:R100)-SUM(S$5:S100)+SUM(BV$5:BV100)</f>
        <v>408064.50295958976</v>
      </c>
      <c r="BS101" s="10">
        <f t="shared" si="101"/>
        <v>-532.3736680412273</v>
      </c>
      <c r="BT101" s="10">
        <f t="shared" si="102"/>
        <v>-1853.29295094147</v>
      </c>
      <c r="BU101" s="10">
        <f>IF(U101&lt;0,PMT(BQ101/12,Podsumowanie!E$8-SUM(AB$5:AB101)+1,BR101),0)</f>
        <v>-2385.6666189826974</v>
      </c>
      <c r="BV101" s="10">
        <f t="shared" si="96"/>
        <v>586.9877037600056</v>
      </c>
      <c r="BX101" s="11">
        <f>BX$5+SUM(BZ$5:BZ100)+SUM(R$5:R100)-SUM(S$5:S100)+SUM(CB$5,CB100)</f>
        <v>368579.85337872664</v>
      </c>
      <c r="BY101" s="10">
        <f t="shared" si="92"/>
        <v>-1673.9668340950502</v>
      </c>
      <c r="BZ101" s="10">
        <f t="shared" si="93"/>
        <v>-1116.908646602202</v>
      </c>
      <c r="CA101" s="10">
        <f t="shared" si="103"/>
        <v>-2790.875480697252</v>
      </c>
      <c r="CB101" s="10">
        <f t="shared" si="104"/>
        <v>992.1965654745602</v>
      </c>
      <c r="CD101" s="10">
        <f>CD$5+SUM(CE$5:CE100)+SUM(R$5:R100)-SUM(S$5:S100)-SUM(CF$5:CF100)</f>
        <v>405163.66667155555</v>
      </c>
      <c r="CE101" s="10">
        <f t="shared" si="97"/>
        <v>1673.9668340950502</v>
      </c>
      <c r="CF101" s="10">
        <f t="shared" si="98"/>
        <v>1798.6789152226918</v>
      </c>
      <c r="CG101" s="10">
        <f t="shared" si="99"/>
        <v>124.71208112764157</v>
      </c>
      <c r="CI101" s="44">
        <v>0.6271</v>
      </c>
      <c r="CJ101" s="10">
        <f t="shared" si="100"/>
        <v>-1127.95</v>
      </c>
      <c r="CK101" s="4">
        <f t="shared" si="105"/>
        <v>0</v>
      </c>
      <c r="CM101" s="10">
        <f t="shared" si="106"/>
        <v>-58002.14132264484</v>
      </c>
      <c r="CN101" s="4">
        <f t="shared" si="107"/>
        <v>-204.94089934001178</v>
      </c>
    </row>
    <row r="102" spans="1:92" ht="15.75">
      <c r="A102" s="36"/>
      <c r="B102" s="37">
        <v>40210</v>
      </c>
      <c r="C102" s="77">
        <f t="shared" si="85"/>
        <v>2.7371</v>
      </c>
      <c r="D102" s="78">
        <f>C102*(1+Podsumowanie!E$11)</f>
        <v>2.819213</v>
      </c>
      <c r="E102" s="34">
        <f t="shared" si="53"/>
        <v>-633.3334091154643</v>
      </c>
      <c r="F102" s="7">
        <f t="shared" si="82"/>
        <v>-1785.5017803126354</v>
      </c>
      <c r="G102" s="7">
        <f t="shared" si="55"/>
        <v>-1396.8713004773404</v>
      </c>
      <c r="H102" s="7">
        <f t="shared" si="83"/>
        <v>388.6304798352951</v>
      </c>
      <c r="I102" s="32"/>
      <c r="J102" s="4" t="str">
        <f t="shared" si="108"/>
        <v xml:space="preserve"> </v>
      </c>
      <c r="K102" s="4">
        <f>IF(B102&lt;Podsumowanie!E$7,0,K101+1)</f>
        <v>32</v>
      </c>
      <c r="L102" s="100">
        <f t="shared" si="86"/>
        <v>0.0029</v>
      </c>
      <c r="M102" s="38">
        <f>L102+Podsumowanie!E$6</f>
        <v>0.0149</v>
      </c>
      <c r="N102" s="101">
        <f>MAX(Podsumowanie!E$4+SUM(AA$5:AA101)-SUM(X$5:X102)+SUM(W$5:W102),0)</f>
        <v>171390.25700444222</v>
      </c>
      <c r="O102" s="102">
        <f>MAX(Podsumowanie!E$2+SUM(V$5:V101)-SUM(S$5:S102)+SUM(R$5:R102),0)</f>
        <v>378015.9513853997</v>
      </c>
      <c r="P102" s="39">
        <f t="shared" si="58"/>
        <v>360</v>
      </c>
      <c r="Q102" s="40" t="str">
        <f>IF(AND(K102&gt;0,K102&lt;=Podsumowanie!E$9),"tak","nie")</f>
        <v>nie</v>
      </c>
      <c r="R102" s="41"/>
      <c r="S102" s="42"/>
      <c r="T102" s="88">
        <f t="shared" si="59"/>
        <v>-469.3698063035379</v>
      </c>
      <c r="U102" s="89">
        <f>IF(Q102="tak",T102,IF(P102-SUM(AB$5:AB102)+1&gt;0,IF(Podsumowanie!E$7&lt;B102,IF(SUM(AB$5:AB102)-Podsumowanie!E$9+1&gt;0,PMT(M102/12,P102+1-SUM(AB$5:AB102),O102),T102),0),0))</f>
        <v>-1396.8713004773404</v>
      </c>
      <c r="V102" s="89">
        <f t="shared" si="84"/>
        <v>-927.5014941738025</v>
      </c>
      <c r="W102" s="90" t="str">
        <f>IF(R102&gt;0,R102/(C102*(1-Podsumowanie!E$11))," ")</f>
        <v xml:space="preserve"> </v>
      </c>
      <c r="X102" s="90">
        <f t="shared" si="94"/>
        <v>0</v>
      </c>
      <c r="Y102" s="91">
        <f t="shared" si="112"/>
        <v>-212.80956911384908</v>
      </c>
      <c r="Z102" s="90">
        <f>IF(P102-SUM(AB$5:AB102)+1&gt;0,IF(Podsumowanie!E$7&lt;B102,IF(SUM(AB$5:AB102)-Podsumowanie!E$9+1&gt;0,PMT(M102/12,P102+1-SUM(AB$5:AB102),N102),Y102),0),0)</f>
        <v>-633.3334091154643</v>
      </c>
      <c r="AA102" s="90">
        <f t="shared" si="80"/>
        <v>-420.5238400016152</v>
      </c>
      <c r="AB102" s="8">
        <f>IF(AND(Podsumowanie!E$7&lt;B102,SUM(AB$5:AB101)&lt;P101),1," ")</f>
        <v>1</v>
      </c>
      <c r="AD102" s="51">
        <f>IF(OR(B102&lt;Podsumowanie!E$12,Podsumowanie!E$12=""),-F102+S102,0)</f>
        <v>1785.5017803126354</v>
      </c>
      <c r="AE102" s="51">
        <f t="shared" si="95"/>
        <v>0</v>
      </c>
      <c r="AG102" s="10">
        <f>Podsumowanie!E$4-SUM(AI$5:AI101)+SUM(W$42:W102)-SUM(X$42:X102)</f>
        <v>166202.5781355522</v>
      </c>
      <c r="AH102" s="10">
        <f t="shared" si="62"/>
        <v>206.37</v>
      </c>
      <c r="AI102" s="10">
        <f t="shared" si="63"/>
        <v>505.18</v>
      </c>
      <c r="AJ102" s="10">
        <f t="shared" si="64"/>
        <v>711.55</v>
      </c>
      <c r="AK102" s="10">
        <f t="shared" si="109"/>
        <v>2006.01</v>
      </c>
      <c r="AL102" s="10">
        <f>Podsumowanie!E$2-SUM(AN$5:AN101)+SUM(R$42:R102)-SUM(S$42:S102)</f>
        <v>366573.7</v>
      </c>
      <c r="AM102" s="10">
        <f t="shared" si="66"/>
        <v>455.16</v>
      </c>
      <c r="AN102" s="10">
        <f t="shared" si="67"/>
        <v>1114.21</v>
      </c>
      <c r="AO102" s="10">
        <f t="shared" si="68"/>
        <v>1569.3700000000001</v>
      </c>
      <c r="AP102" s="10">
        <f t="shared" si="69"/>
        <v>436.6399999999999</v>
      </c>
      <c r="AR102" s="43">
        <f t="shared" si="110"/>
        <v>40210</v>
      </c>
      <c r="AS102" s="11">
        <f>AS$5+SUM(AV$5:AV101)-SUM(X$5:X102)+SUM(W$5:W102)</f>
        <v>166248.54929430893</v>
      </c>
      <c r="AT102" s="10">
        <f t="shared" si="71"/>
        <v>-206.4252820404336</v>
      </c>
      <c r="AU102" s="10">
        <f>IF(AB102=1,IF(Q102="tak",AT102,PMT(M102/12,P102+1-SUM(AB$5:AB102),AS102)),0)</f>
        <v>-614.3334068420004</v>
      </c>
      <c r="AV102" s="10">
        <f t="shared" si="72"/>
        <v>-407.9081248015668</v>
      </c>
      <c r="AW102" s="10">
        <f t="shared" si="73"/>
        <v>-1681.4919678672393</v>
      </c>
      <c r="AY102" s="11">
        <f>AY$5+SUM(BA$5:BA101)+SUM(W$5:W101)-SUM(X$5:X101)</f>
        <v>161216.36719148562</v>
      </c>
      <c r="AZ102" s="11">
        <f t="shared" si="74"/>
        <v>-206.4252820404336</v>
      </c>
      <c r="BA102" s="11">
        <f t="shared" si="75"/>
        <v>-490.02</v>
      </c>
      <c r="BB102" s="11">
        <f t="shared" si="76"/>
        <v>-696.4452820404335</v>
      </c>
      <c r="BC102" s="11">
        <f t="shared" si="111"/>
        <v>-1906.2403814728705</v>
      </c>
      <c r="BE102" s="172">
        <f t="shared" si="87"/>
        <v>0.0417</v>
      </c>
      <c r="BF102" s="44">
        <f>BE102+Podsumowanie!$E$6</f>
        <v>0.0537</v>
      </c>
      <c r="BG102" s="11">
        <f>BG$5+SUM(BH$5:BH101)+SUM(R$5:R101)-SUM(S$5:S101)</f>
        <v>388127.7955579983</v>
      </c>
      <c r="BH102" s="10">
        <f t="shared" si="81"/>
        <v>-516.2669417496356</v>
      </c>
      <c r="BI102" s="10">
        <f t="shared" si="79"/>
        <v>-1736.8718851220422</v>
      </c>
      <c r="BJ102" s="10">
        <f>IF(U102&lt;0,PMT(BF102/12,Podsumowanie!E$8-SUM(AB$5:AB102)+1,BG102),0)</f>
        <v>-2253.138826871678</v>
      </c>
      <c r="BL102" s="11">
        <f>BL$5+SUM(BN$5:BN101)+SUM(R$5:R101)-SUM(S$5:S101)</f>
        <v>366573.81615598884</v>
      </c>
      <c r="BM102" s="11">
        <f t="shared" si="88"/>
        <v>-1640.41782729805</v>
      </c>
      <c r="BN102" s="11">
        <f t="shared" si="89"/>
        <v>-1114.2061281337046</v>
      </c>
      <c r="BO102" s="11">
        <f t="shared" si="90"/>
        <v>-2754.6239554317544</v>
      </c>
      <c r="BQ102" s="44">
        <f t="shared" si="91"/>
        <v>0.0538</v>
      </c>
      <c r="BR102" s="11">
        <f>BR$5+SUM(BS$5:BS101)+SUM(R$5:R101)-SUM(S$5:S101)+SUM(BV$5:BV101)</f>
        <v>408119.11699530855</v>
      </c>
      <c r="BS102" s="10">
        <f t="shared" si="101"/>
        <v>-541.9418989734779</v>
      </c>
      <c r="BT102" s="10">
        <f t="shared" si="102"/>
        <v>-1829.7340411956332</v>
      </c>
      <c r="BU102" s="10">
        <f>IF(U102&lt;0,PMT(BQ102/12,Podsumowanie!E$8-SUM(AB$5:AB102)+1,BR102),0)</f>
        <v>-2371.675940169111</v>
      </c>
      <c r="BV102" s="10">
        <f t="shared" si="96"/>
        <v>586.1741598564756</v>
      </c>
      <c r="BX102" s="11">
        <f>BX$5+SUM(BZ$5:BZ101)+SUM(R$5:R101)-SUM(S$5:S101)+SUM(CB$5,CB101)</f>
        <v>367461.7482383283</v>
      </c>
      <c r="BY102" s="10">
        <f t="shared" si="92"/>
        <v>-1647.4535046018389</v>
      </c>
      <c r="BZ102" s="10">
        <f t="shared" si="93"/>
        <v>-1116.9050098429432</v>
      </c>
      <c r="CA102" s="10">
        <f t="shared" si="103"/>
        <v>-2764.358514444782</v>
      </c>
      <c r="CB102" s="10">
        <f t="shared" si="104"/>
        <v>978.8567341321466</v>
      </c>
      <c r="CD102" s="10">
        <f>CD$5+SUM(CE$5:CE101)+SUM(R$5:R101)-SUM(S$5:S101)-SUM(CF$5:CF101)</f>
        <v>405038.9545904279</v>
      </c>
      <c r="CE102" s="10">
        <f t="shared" si="97"/>
        <v>1647.4535046018389</v>
      </c>
      <c r="CF102" s="10">
        <f t="shared" si="98"/>
        <v>1785.5017803126354</v>
      </c>
      <c r="CG102" s="10">
        <f t="shared" si="99"/>
        <v>138.0482757107966</v>
      </c>
      <c r="CI102" s="44">
        <v>0.6174</v>
      </c>
      <c r="CJ102" s="10">
        <f t="shared" si="100"/>
        <v>-1102.37</v>
      </c>
      <c r="CK102" s="4">
        <f t="shared" si="105"/>
        <v>0</v>
      </c>
      <c r="CM102" s="10">
        <f t="shared" si="106"/>
        <v>-59787.643102957474</v>
      </c>
      <c r="CN102" s="4">
        <f t="shared" si="107"/>
        <v>-207.76205978277721</v>
      </c>
    </row>
    <row r="103" spans="1:92" ht="15.75">
      <c r="A103" s="36"/>
      <c r="B103" s="37">
        <v>40238</v>
      </c>
      <c r="C103" s="77">
        <f t="shared" si="85"/>
        <v>2.6885</v>
      </c>
      <c r="D103" s="78">
        <f>C103*(1+Podsumowanie!E$11)</f>
        <v>2.769155</v>
      </c>
      <c r="E103" s="34">
        <f t="shared" si="53"/>
        <v>-633.3334091154642</v>
      </c>
      <c r="F103" s="7">
        <f t="shared" si="82"/>
        <v>-1753.7983765191332</v>
      </c>
      <c r="G103" s="7">
        <f t="shared" si="55"/>
        <v>-1396.8713004773401</v>
      </c>
      <c r="H103" s="7">
        <f t="shared" si="83"/>
        <v>356.92707604179304</v>
      </c>
      <c r="I103" s="32"/>
      <c r="J103" s="4" t="str">
        <f t="shared" si="108"/>
        <v xml:space="preserve"> </v>
      </c>
      <c r="K103" s="4">
        <f>IF(B103&lt;Podsumowanie!E$7,0,K102+1)</f>
        <v>33</v>
      </c>
      <c r="L103" s="100">
        <f t="shared" si="86"/>
        <v>0.0029</v>
      </c>
      <c r="M103" s="38">
        <f>L103+Podsumowanie!E$6</f>
        <v>0.0149</v>
      </c>
      <c r="N103" s="101">
        <f>MAX(Podsumowanie!E$4+SUM(AA$5:AA102)-SUM(X$5:X103)+SUM(W$5:W103),0)</f>
        <v>170969.7331644406</v>
      </c>
      <c r="O103" s="102">
        <f>MAX(Podsumowanie!E$2+SUM(V$5:V102)-SUM(S$5:S103)+SUM(R$5:R103),0)</f>
        <v>377088.44989122584</v>
      </c>
      <c r="P103" s="39">
        <f t="shared" si="58"/>
        <v>360</v>
      </c>
      <c r="Q103" s="40" t="str">
        <f>IF(AND(K103&gt;0,K103&lt;=Podsumowanie!E$9),"tak","nie")</f>
        <v>nie</v>
      </c>
      <c r="R103" s="41"/>
      <c r="S103" s="42"/>
      <c r="T103" s="88">
        <f t="shared" si="59"/>
        <v>-468.2181586149388</v>
      </c>
      <c r="U103" s="89">
        <f>IF(Q103="tak",T103,IF(P103-SUM(AB$5:AB103)+1&gt;0,IF(Podsumowanie!E$7&lt;B103,IF(SUM(AB$5:AB103)-Podsumowanie!E$9+1&gt;0,PMT(M103/12,P103+1-SUM(AB$5:AB103),O103),T103),0),0))</f>
        <v>-1396.8713004773401</v>
      </c>
      <c r="V103" s="89">
        <f t="shared" si="84"/>
        <v>-928.6531418624013</v>
      </c>
      <c r="W103" s="90" t="str">
        <f>IF(R103&gt;0,R103/(C103*(1-Podsumowanie!E$11))," ")</f>
        <v xml:space="preserve"> </v>
      </c>
      <c r="X103" s="90">
        <f t="shared" si="94"/>
        <v>0</v>
      </c>
      <c r="Y103" s="91">
        <f t="shared" si="112"/>
        <v>-212.2874186791804</v>
      </c>
      <c r="Z103" s="90">
        <f>IF(P103-SUM(AB$5:AB103)+1&gt;0,IF(Podsumowanie!E$7&lt;B103,IF(SUM(AB$5:AB103)-Podsumowanie!E$9+1&gt;0,PMT(M103/12,P103+1-SUM(AB$5:AB103),N103),Y103),0),0)</f>
        <v>-633.3334091154642</v>
      </c>
      <c r="AA103" s="90">
        <f t="shared" si="80"/>
        <v>-421.0459904362838</v>
      </c>
      <c r="AB103" s="8">
        <f>IF(AND(Podsumowanie!E$7&lt;B103,SUM(AB$5:AB102)&lt;P102),1," ")</f>
        <v>1</v>
      </c>
      <c r="AD103" s="51">
        <f>IF(OR(B103&lt;Podsumowanie!E$12,Podsumowanie!E$12=""),-F103+S103,0)</f>
        <v>1753.7983765191332</v>
      </c>
      <c r="AE103" s="51">
        <f t="shared" si="95"/>
        <v>0</v>
      </c>
      <c r="AG103" s="10">
        <f>Podsumowanie!E$4-SUM(AI$5:AI102)+SUM(W$42:W103)-SUM(X$42:X103)</f>
        <v>165697.3981355522</v>
      </c>
      <c r="AH103" s="10">
        <f t="shared" si="62"/>
        <v>205.74</v>
      </c>
      <c r="AI103" s="10">
        <f t="shared" si="63"/>
        <v>505.17</v>
      </c>
      <c r="AJ103" s="10">
        <f t="shared" si="64"/>
        <v>710.9100000000001</v>
      </c>
      <c r="AK103" s="10">
        <f t="shared" si="109"/>
        <v>1968.62</v>
      </c>
      <c r="AL103" s="10">
        <f>Podsumowanie!E$2-SUM(AN$5:AN102)+SUM(R$42:R103)-SUM(S$42:S103)</f>
        <v>365459.49</v>
      </c>
      <c r="AM103" s="10">
        <f t="shared" si="66"/>
        <v>453.78</v>
      </c>
      <c r="AN103" s="10">
        <f t="shared" si="67"/>
        <v>1114.21</v>
      </c>
      <c r="AO103" s="10">
        <f t="shared" si="68"/>
        <v>1567.99</v>
      </c>
      <c r="AP103" s="10">
        <f t="shared" si="69"/>
        <v>400.6299999999999</v>
      </c>
      <c r="AR103" s="43">
        <f t="shared" si="110"/>
        <v>40238</v>
      </c>
      <c r="AS103" s="11">
        <f>AS$5+SUM(AV$5:AV102)-SUM(X$5:X103)+SUM(W$5:W103)</f>
        <v>165840.64116950738</v>
      </c>
      <c r="AT103" s="10">
        <f t="shared" si="71"/>
        <v>-205.91879611880498</v>
      </c>
      <c r="AU103" s="10">
        <f>IF(AB103=1,IF(Q103="tak",AT103,PMT(M103/12,P103+1-SUM(AB$5:AB103),AS103)),0)</f>
        <v>-614.3334068420003</v>
      </c>
      <c r="AV103" s="10">
        <f t="shared" si="72"/>
        <v>-408.4146107231953</v>
      </c>
      <c r="AW103" s="10">
        <f t="shared" si="73"/>
        <v>-1651.6353642947176</v>
      </c>
      <c r="AY103" s="11">
        <f>AY$5+SUM(BA$5:BA102)+SUM(W$5:W102)-SUM(X$5:X102)</f>
        <v>160726.34719148563</v>
      </c>
      <c r="AZ103" s="11">
        <f t="shared" si="74"/>
        <v>-205.91879611880498</v>
      </c>
      <c r="BA103" s="11">
        <f t="shared" si="75"/>
        <v>-490.02</v>
      </c>
      <c r="BB103" s="11">
        <f t="shared" si="76"/>
        <v>-695.9387961188049</v>
      </c>
      <c r="BC103" s="11">
        <f t="shared" si="111"/>
        <v>-1871.031453365407</v>
      </c>
      <c r="BE103" s="172">
        <f t="shared" si="87"/>
        <v>0.0413</v>
      </c>
      <c r="BF103" s="44">
        <f>BE103+Podsumowanie!$E$6</f>
        <v>0.0533</v>
      </c>
      <c r="BG103" s="11">
        <f>BG$5+SUM(BH$5:BH102)+SUM(R$5:R102)-SUM(S$5:S102)</f>
        <v>387611.52861624863</v>
      </c>
      <c r="BH103" s="10">
        <f t="shared" si="81"/>
        <v>-522.0783653542992</v>
      </c>
      <c r="BI103" s="10">
        <f t="shared" si="79"/>
        <v>-1721.6412062705042</v>
      </c>
      <c r="BJ103" s="10">
        <f>IF(U103&lt;0,PMT(BF103/12,Podsumowanie!E$8-SUM(AB$5:AB103)+1,BG103),0)</f>
        <v>-2243.7195716248034</v>
      </c>
      <c r="BL103" s="11">
        <f>BL$5+SUM(BN$5:BN102)+SUM(R$5:R102)-SUM(S$5:S102)</f>
        <v>365459.61002785515</v>
      </c>
      <c r="BM103" s="11">
        <f t="shared" si="88"/>
        <v>-1623.2497678737234</v>
      </c>
      <c r="BN103" s="11">
        <f t="shared" si="89"/>
        <v>-1114.2061281337046</v>
      </c>
      <c r="BO103" s="11">
        <f t="shared" si="90"/>
        <v>-2737.4558960074282</v>
      </c>
      <c r="BQ103" s="44">
        <f t="shared" si="91"/>
        <v>0.0534</v>
      </c>
      <c r="BR103" s="11">
        <f>BR$5+SUM(BS$5:BS102)+SUM(R$5:R102)-SUM(S$5:S102)+SUM(BV$5:BV102)</f>
        <v>408163.3492561916</v>
      </c>
      <c r="BS103" s="10">
        <f t="shared" si="101"/>
        <v>-548.8362768152699</v>
      </c>
      <c r="BT103" s="10">
        <f t="shared" si="102"/>
        <v>-1816.3269041900528</v>
      </c>
      <c r="BU103" s="10">
        <f>IF(U103&lt;0,PMT(BQ103/12,Podsumowanie!E$8-SUM(AB$5:AB103)+1,BR103),0)</f>
        <v>-2365.1631810053227</v>
      </c>
      <c r="BV103" s="10">
        <f t="shared" si="96"/>
        <v>611.3648044861895</v>
      </c>
      <c r="BX103" s="11">
        <f>BX$5+SUM(BZ$5:BZ102)+SUM(R$5:R102)-SUM(S$5:S102)+SUM(CB$5,CB102)</f>
        <v>366331.503397143</v>
      </c>
      <c r="BY103" s="10">
        <f t="shared" si="92"/>
        <v>-1630.1751901172863</v>
      </c>
      <c r="BZ103" s="10">
        <f t="shared" si="93"/>
        <v>-1116.8643396254358</v>
      </c>
      <c r="CA103" s="10">
        <f t="shared" si="103"/>
        <v>-2747.039529742722</v>
      </c>
      <c r="CB103" s="10">
        <f t="shared" si="104"/>
        <v>993.241153223589</v>
      </c>
      <c r="CD103" s="10">
        <f>CD$5+SUM(CE$5:CE102)+SUM(R$5:R102)-SUM(S$5:S102)-SUM(CF$5:CF102)</f>
        <v>404900.90631471714</v>
      </c>
      <c r="CE103" s="10">
        <f t="shared" si="97"/>
        <v>1630.1751901172863</v>
      </c>
      <c r="CF103" s="10">
        <f t="shared" si="98"/>
        <v>1753.7983765191332</v>
      </c>
      <c r="CG103" s="10">
        <f t="shared" si="99"/>
        <v>123.62318640184685</v>
      </c>
      <c r="CI103" s="44">
        <v>0.6141</v>
      </c>
      <c r="CJ103" s="10">
        <f t="shared" si="100"/>
        <v>-1077.01</v>
      </c>
      <c r="CK103" s="4">
        <f t="shared" si="105"/>
        <v>0</v>
      </c>
      <c r="CM103" s="10">
        <f t="shared" si="106"/>
        <v>-61541.441479476605</v>
      </c>
      <c r="CN103" s="4">
        <f t="shared" si="107"/>
        <v>-211.805127758532</v>
      </c>
    </row>
    <row r="104" spans="1:92" ht="15.75">
      <c r="A104" s="36"/>
      <c r="B104" s="37">
        <v>40269</v>
      </c>
      <c r="C104" s="77">
        <f t="shared" si="85"/>
        <v>2.6997</v>
      </c>
      <c r="D104" s="78">
        <f>C104*(1+Podsumowanie!E$11)</f>
        <v>2.780691</v>
      </c>
      <c r="E104" s="34">
        <f t="shared" si="53"/>
        <v>-633.3334091154643</v>
      </c>
      <c r="F104" s="7">
        <f t="shared" si="82"/>
        <v>-1761.1045107266896</v>
      </c>
      <c r="G104" s="7">
        <f t="shared" si="55"/>
        <v>-1396.8713004773401</v>
      </c>
      <c r="H104" s="7">
        <f t="shared" si="83"/>
        <v>364.23321024934944</v>
      </c>
      <c r="I104" s="32"/>
      <c r="J104" s="4" t="str">
        <f t="shared" si="108"/>
        <v xml:space="preserve"> </v>
      </c>
      <c r="K104" s="4">
        <f>IF(B104&lt;Podsumowanie!E$7,0,K103+1)</f>
        <v>34</v>
      </c>
      <c r="L104" s="100">
        <f t="shared" si="86"/>
        <v>0.0029</v>
      </c>
      <c r="M104" s="38">
        <f>L104+Podsumowanie!E$6</f>
        <v>0.0149</v>
      </c>
      <c r="N104" s="101">
        <f>MAX(Podsumowanie!E$4+SUM(AA$5:AA103)-SUM(X$5:X104)+SUM(W$5:W104),0)</f>
        <v>170548.68717400433</v>
      </c>
      <c r="O104" s="102">
        <f>MAX(Podsumowanie!E$2+SUM(V$5:V103)-SUM(S$5:S104)+SUM(R$5:R104),0)</f>
        <v>376159.7967493634</v>
      </c>
      <c r="P104" s="39">
        <f t="shared" si="58"/>
        <v>360</v>
      </c>
      <c r="Q104" s="40" t="str">
        <f>IF(AND(K104&gt;0,K104&lt;=Podsumowanie!E$9),"tak","nie")</f>
        <v>nie</v>
      </c>
      <c r="R104" s="41"/>
      <c r="S104" s="42"/>
      <c r="T104" s="88">
        <f t="shared" si="59"/>
        <v>-467.0650809637929</v>
      </c>
      <c r="U104" s="89">
        <f>IF(Q104="tak",T104,IF(P104-SUM(AB$5:AB104)+1&gt;0,IF(Podsumowanie!E$7&lt;B104,IF(SUM(AB$5:AB104)-Podsumowanie!E$9+1&gt;0,PMT(M104/12,P104+1-SUM(AB$5:AB104),O104),T104),0),0))</f>
        <v>-1396.8713004773401</v>
      </c>
      <c r="V104" s="89">
        <f t="shared" si="84"/>
        <v>-929.8062195135471</v>
      </c>
      <c r="W104" s="90" t="str">
        <f>IF(R104&gt;0,R104/(C104*(1-Podsumowanie!E$11))," ")</f>
        <v xml:space="preserve"> </v>
      </c>
      <c r="X104" s="90">
        <f t="shared" si="94"/>
        <v>0</v>
      </c>
      <c r="Y104" s="91">
        <f t="shared" si="112"/>
        <v>-211.76461990772205</v>
      </c>
      <c r="Z104" s="90">
        <f>IF(P104-SUM(AB$5:AB104)+1&gt;0,IF(Podsumowanie!E$7&lt;B104,IF(SUM(AB$5:AB104)-Podsumowanie!E$9+1&gt;0,PMT(M104/12,P104+1-SUM(AB$5:AB104),N104),Y104),0),0)</f>
        <v>-633.3334091154643</v>
      </c>
      <c r="AA104" s="90">
        <f t="shared" si="80"/>
        <v>-421.56878920774227</v>
      </c>
      <c r="AB104" s="8">
        <f>IF(AND(Podsumowanie!E$7&lt;B104,SUM(AB$5:AB103)&lt;P103),1," ")</f>
        <v>1</v>
      </c>
      <c r="AD104" s="51">
        <f>IF(OR(B104&lt;Podsumowanie!E$12,Podsumowanie!E$12=""),-F104+S104,0)</f>
        <v>1761.1045107266896</v>
      </c>
      <c r="AE104" s="51">
        <f t="shared" si="95"/>
        <v>0</v>
      </c>
      <c r="AG104" s="10">
        <f>Podsumowanie!E$4-SUM(AI$5:AI103)+SUM(W$42:W104)-SUM(X$42:X104)</f>
        <v>165192.2281355522</v>
      </c>
      <c r="AH104" s="10">
        <f t="shared" si="62"/>
        <v>205.11</v>
      </c>
      <c r="AI104" s="10">
        <f t="shared" si="63"/>
        <v>505.18</v>
      </c>
      <c r="AJ104" s="10">
        <f t="shared" si="64"/>
        <v>710.29</v>
      </c>
      <c r="AK104" s="10">
        <f t="shared" si="109"/>
        <v>1975.1</v>
      </c>
      <c r="AL104" s="10">
        <f>Podsumowanie!E$2-SUM(AN$5:AN103)+SUM(R$42:R104)-SUM(S$42:S104)</f>
        <v>364345.28</v>
      </c>
      <c r="AM104" s="10">
        <f t="shared" si="66"/>
        <v>452.4</v>
      </c>
      <c r="AN104" s="10">
        <f t="shared" si="67"/>
        <v>1114.21</v>
      </c>
      <c r="AO104" s="10">
        <f t="shared" si="68"/>
        <v>1566.6100000000001</v>
      </c>
      <c r="AP104" s="10">
        <f t="shared" si="69"/>
        <v>408.4899999999998</v>
      </c>
      <c r="AR104" s="43">
        <f t="shared" si="110"/>
        <v>40269</v>
      </c>
      <c r="AS104" s="11">
        <f>AS$5+SUM(AV$5:AV103)-SUM(X$5:X104)+SUM(W$5:W104)</f>
        <v>165432.22655878417</v>
      </c>
      <c r="AT104" s="10">
        <f t="shared" si="71"/>
        <v>-205.41168131049037</v>
      </c>
      <c r="AU104" s="10">
        <f>IF(AB104=1,IF(Q104="tak",AT104,PMT(M104/12,P104+1-SUM(AB$5:AB104),AS104)),0)</f>
        <v>-614.3334068420003</v>
      </c>
      <c r="AV104" s="10">
        <f t="shared" si="72"/>
        <v>-408.9217255315099</v>
      </c>
      <c r="AW104" s="10">
        <f t="shared" si="73"/>
        <v>-1658.5158984513482</v>
      </c>
      <c r="AY104" s="11">
        <f>AY$5+SUM(BA$5:BA103)+SUM(W$5:W103)-SUM(X$5:X103)</f>
        <v>160236.32719148562</v>
      </c>
      <c r="AZ104" s="11">
        <f t="shared" si="74"/>
        <v>-205.41168131049037</v>
      </c>
      <c r="BA104" s="11">
        <f t="shared" si="75"/>
        <v>-490.02</v>
      </c>
      <c r="BB104" s="11">
        <f t="shared" si="76"/>
        <v>-695.4316813104904</v>
      </c>
      <c r="BC104" s="11">
        <f t="shared" si="111"/>
        <v>-1877.4569100339309</v>
      </c>
      <c r="BE104" s="172">
        <f t="shared" si="87"/>
        <v>0.0392</v>
      </c>
      <c r="BF104" s="44">
        <f>BE104+Podsumowanie!$E$6</f>
        <v>0.051199999999999996</v>
      </c>
      <c r="BG104" s="11">
        <f>BG$5+SUM(BH$5:BH103)+SUM(R$5:R103)-SUM(S$5:S103)</f>
        <v>387089.45025089436</v>
      </c>
      <c r="BH104" s="10">
        <f t="shared" si="81"/>
        <v>-543.1066503767977</v>
      </c>
      <c r="BI104" s="10">
        <f t="shared" si="79"/>
        <v>-1651.581654403816</v>
      </c>
      <c r="BJ104" s="10">
        <f>IF(U104&lt;0,PMT(BF104/12,Podsumowanie!E$8-SUM(AB$5:AB104)+1,BG104),0)</f>
        <v>-2194.6883047806136</v>
      </c>
      <c r="BL104" s="11">
        <f>BL$5+SUM(BN$5:BN103)+SUM(R$5:R103)-SUM(S$5:S103)</f>
        <v>364345.40389972145</v>
      </c>
      <c r="BM104" s="11">
        <f t="shared" si="88"/>
        <v>-1554.5403899721448</v>
      </c>
      <c r="BN104" s="11">
        <f t="shared" si="89"/>
        <v>-1114.2061281337049</v>
      </c>
      <c r="BO104" s="11">
        <f t="shared" si="90"/>
        <v>-2668.7465181058496</v>
      </c>
      <c r="BQ104" s="44">
        <f t="shared" si="91"/>
        <v>0.0513</v>
      </c>
      <c r="BR104" s="11">
        <f>BR$5+SUM(BS$5:BS103)+SUM(R$5:R103)-SUM(S$5:S103)+SUM(BV$5:BV103)</f>
        <v>408225.87778386247</v>
      </c>
      <c r="BS104" s="10">
        <f t="shared" si="101"/>
        <v>-571.809942909184</v>
      </c>
      <c r="BT104" s="10">
        <f t="shared" si="102"/>
        <v>-1745.165627526012</v>
      </c>
      <c r="BU104" s="10">
        <f>IF(U104&lt;0,PMT(BQ104/12,Podsumowanie!E$8-SUM(AB$5:AB104)+1,BR104),0)</f>
        <v>-2316.975570435196</v>
      </c>
      <c r="BV104" s="10">
        <f t="shared" si="96"/>
        <v>555.8710597085064</v>
      </c>
      <c r="BX104" s="11">
        <f>BX$5+SUM(BZ$5:BZ103)+SUM(R$5:R103)-SUM(S$5:S103)+SUM(CB$5,CB103)</f>
        <v>365229.02347660897</v>
      </c>
      <c r="BY104" s="10">
        <f t="shared" si="92"/>
        <v>-1561.3540753625032</v>
      </c>
      <c r="BZ104" s="10">
        <f t="shared" si="93"/>
        <v>-1116.9083286746452</v>
      </c>
      <c r="CA104" s="10">
        <f t="shared" si="103"/>
        <v>-2678.2624040371484</v>
      </c>
      <c r="CB104" s="10">
        <f t="shared" si="104"/>
        <v>917.1578933104588</v>
      </c>
      <c r="CD104" s="10">
        <f>CD$5+SUM(CE$5:CE103)+SUM(R$5:R103)-SUM(S$5:S103)-SUM(CF$5:CF103)</f>
        <v>404777.28312831523</v>
      </c>
      <c r="CE104" s="10">
        <f t="shared" si="97"/>
        <v>1561.3540753625032</v>
      </c>
      <c r="CF104" s="10">
        <f t="shared" si="98"/>
        <v>1761.1045107266896</v>
      </c>
      <c r="CG104" s="10">
        <f t="shared" si="99"/>
        <v>199.7504353641864</v>
      </c>
      <c r="CI104" s="44">
        <v>0.6093</v>
      </c>
      <c r="CJ104" s="10">
        <f t="shared" si="100"/>
        <v>-1073.04</v>
      </c>
      <c r="CK104" s="4">
        <f t="shared" si="105"/>
        <v>0</v>
      </c>
      <c r="CM104" s="10">
        <f t="shared" si="106"/>
        <v>-63302.545990203296</v>
      </c>
      <c r="CN104" s="4">
        <f t="shared" si="107"/>
        <v>-206.78831690133075</v>
      </c>
    </row>
    <row r="105" spans="1:92" ht="15.75">
      <c r="A105" s="36"/>
      <c r="B105" s="37">
        <v>40299</v>
      </c>
      <c r="C105" s="77">
        <f t="shared" si="85"/>
        <v>2.8504</v>
      </c>
      <c r="D105" s="78">
        <f>C105*(1+Podsumowanie!E$11)</f>
        <v>2.935912</v>
      </c>
      <c r="E105" s="34">
        <f t="shared" si="53"/>
        <v>-633.3334091154643</v>
      </c>
      <c r="F105" s="7">
        <f t="shared" si="82"/>
        <v>-1859.411155823001</v>
      </c>
      <c r="G105" s="7">
        <f t="shared" si="55"/>
        <v>-1396.8713004773404</v>
      </c>
      <c r="H105" s="7">
        <f t="shared" si="83"/>
        <v>462.5398553456607</v>
      </c>
      <c r="I105" s="32"/>
      <c r="J105" s="4" t="str">
        <f aca="true" t="shared" si="113" ref="J105:J136">IF(H105&lt;0,"Ze względu na spadek kursu CHF, rata jest korzystniejsza niż bez klauzuli indeksacyjnej"," ")</f>
        <v xml:space="preserve"> </v>
      </c>
      <c r="K105" s="4">
        <f>IF(B105&lt;Podsumowanie!E$7,0,K104+1)</f>
        <v>35</v>
      </c>
      <c r="L105" s="100">
        <f t="shared" si="86"/>
        <v>0.0029</v>
      </c>
      <c r="M105" s="38">
        <f>L105+Podsumowanie!E$6</f>
        <v>0.0149</v>
      </c>
      <c r="N105" s="101">
        <f>MAX(Podsumowanie!E$4+SUM(AA$5:AA104)-SUM(X$5:X105)+SUM(W$5:W105),0)</f>
        <v>170127.11838479657</v>
      </c>
      <c r="O105" s="102">
        <f>MAX(Podsumowanie!E$2+SUM(V$5:V104)-SUM(S$5:S105)+SUM(R$5:R105),0)</f>
        <v>375229.9905298499</v>
      </c>
      <c r="P105" s="39">
        <f t="shared" si="58"/>
        <v>360</v>
      </c>
      <c r="Q105" s="40" t="str">
        <f>IF(AND(K105&gt;0,K105&lt;=Podsumowanie!E$9),"tak","nie")</f>
        <v>nie</v>
      </c>
      <c r="R105" s="41"/>
      <c r="S105" s="42"/>
      <c r="T105" s="88">
        <f t="shared" si="59"/>
        <v>-465.9105715745636</v>
      </c>
      <c r="U105" s="89">
        <f>IF(Q105="tak",T105,IF(P105-SUM(AB$5:AB105)+1&gt;0,IF(Podsumowanie!E$7&lt;B105,IF(SUM(AB$5:AB105)-Podsumowanie!E$9+1&gt;0,PMT(M105/12,P105+1-SUM(AB$5:AB105),O105),T105),0),0))</f>
        <v>-1396.8713004773404</v>
      </c>
      <c r="V105" s="89">
        <f t="shared" si="84"/>
        <v>-930.9607289027767</v>
      </c>
      <c r="W105" s="90" t="str">
        <f>IF(R105&gt;0,R105/(C105*(1-Podsumowanie!E$11))," ")</f>
        <v xml:space="preserve"> </v>
      </c>
      <c r="X105" s="90">
        <f t="shared" si="94"/>
        <v>0</v>
      </c>
      <c r="Y105" s="91">
        <f t="shared" si="112"/>
        <v>-211.24117199445575</v>
      </c>
      <c r="Z105" s="90">
        <f>IF(P105-SUM(AB$5:AB105)+1&gt;0,IF(Podsumowanie!E$7&lt;B105,IF(SUM(AB$5:AB105)-Podsumowanie!E$9+1&gt;0,PMT(M105/12,P105+1-SUM(AB$5:AB105),N105),Y105),0),0)</f>
        <v>-633.3334091154643</v>
      </c>
      <c r="AA105" s="90">
        <f t="shared" si="80"/>
        <v>-422.09223712100857</v>
      </c>
      <c r="AB105" s="8">
        <f>IF(AND(Podsumowanie!E$7&lt;B105,SUM(AB$5:AB104)&lt;P104),1," ")</f>
        <v>1</v>
      </c>
      <c r="AD105" s="51">
        <f>IF(OR(B105&lt;Podsumowanie!E$12,Podsumowanie!E$12=""),-F105+S105,0)</f>
        <v>1859.411155823001</v>
      </c>
      <c r="AE105" s="51">
        <f t="shared" si="95"/>
        <v>0</v>
      </c>
      <c r="AG105" s="10">
        <f>Podsumowanie!E$4-SUM(AI$5:AI104)+SUM(W$42:W105)-SUM(X$42:X105)</f>
        <v>164687.0481355522</v>
      </c>
      <c r="AH105" s="10">
        <f t="shared" si="62"/>
        <v>204.49</v>
      </c>
      <c r="AI105" s="10">
        <f t="shared" si="63"/>
        <v>505.17</v>
      </c>
      <c r="AJ105" s="10">
        <f t="shared" si="64"/>
        <v>709.6600000000001</v>
      </c>
      <c r="AK105" s="10">
        <f aca="true" t="shared" si="114" ref="AK105:AK136">ROUND(AJ105*D105,2)</f>
        <v>2083.5</v>
      </c>
      <c r="AL105" s="10">
        <f>Podsumowanie!E$2-SUM(AN$5:AN104)+SUM(R$42:R105)-SUM(S$42:S105)</f>
        <v>363231.07</v>
      </c>
      <c r="AM105" s="10">
        <f t="shared" si="66"/>
        <v>451.01</v>
      </c>
      <c r="AN105" s="10">
        <f t="shared" si="67"/>
        <v>1114.21</v>
      </c>
      <c r="AO105" s="10">
        <f t="shared" si="68"/>
        <v>1565.22</v>
      </c>
      <c r="AP105" s="10">
        <f t="shared" si="69"/>
        <v>518.28</v>
      </c>
      <c r="AR105" s="43">
        <f aca="true" t="shared" si="115" ref="AR105:AR136">B105</f>
        <v>40299</v>
      </c>
      <c r="AS105" s="11">
        <f>AS$5+SUM(AV$5:AV104)-SUM(X$5:X105)+SUM(W$5:W105)</f>
        <v>165023.30483325268</v>
      </c>
      <c r="AT105" s="10">
        <f t="shared" si="71"/>
        <v>-204.90393683462207</v>
      </c>
      <c r="AU105" s="10">
        <f>IF(AB105=1,IF(Q105="tak",AT105,PMT(M105/12,P105+1-SUM(AB$5:AB105),AS105)),0)</f>
        <v>-614.3334068420004</v>
      </c>
      <c r="AV105" s="10">
        <f t="shared" si="72"/>
        <v>-409.4294700073783</v>
      </c>
      <c r="AW105" s="10">
        <f t="shared" si="73"/>
        <v>-1751.0959428624378</v>
      </c>
      <c r="AY105" s="11">
        <f>AY$5+SUM(BA$5:BA104)+SUM(W$5:W104)-SUM(X$5:X104)</f>
        <v>159746.30719148563</v>
      </c>
      <c r="AZ105" s="11">
        <f t="shared" si="74"/>
        <v>-204.90393683462207</v>
      </c>
      <c r="BA105" s="11">
        <f t="shared" si="75"/>
        <v>-490.02</v>
      </c>
      <c r="BB105" s="11">
        <f t="shared" si="76"/>
        <v>-694.923936834622</v>
      </c>
      <c r="BC105" s="11">
        <f aca="true" t="shared" si="116" ref="BC105:BC136">BB105*C105</f>
        <v>-1980.8111895534068</v>
      </c>
      <c r="BE105" s="172">
        <f t="shared" si="87"/>
        <v>0.0385</v>
      </c>
      <c r="BF105" s="44">
        <f>BE105+Podsumowanie!$E$6</f>
        <v>0.0505</v>
      </c>
      <c r="BG105" s="11">
        <f>BG$5+SUM(BH$5:BH104)+SUM(R$5:R104)-SUM(S$5:S104)</f>
        <v>386546.34360051755</v>
      </c>
      <c r="BH105" s="10">
        <f t="shared" si="81"/>
        <v>-551.7822378396038</v>
      </c>
      <c r="BI105" s="10">
        <f t="shared" si="79"/>
        <v>-1626.715862652178</v>
      </c>
      <c r="BJ105" s="10">
        <f>IF(U105&lt;0,PMT(BF105/12,Podsumowanie!E$8-SUM(AB$5:AB105)+1,BG105),0)</f>
        <v>-2178.4981004917818</v>
      </c>
      <c r="BL105" s="11">
        <f>BL$5+SUM(BN$5:BN104)+SUM(R$5:R104)-SUM(S$5:S104)</f>
        <v>363231.19777158776</v>
      </c>
      <c r="BM105" s="11">
        <f t="shared" si="88"/>
        <v>-1528.5979572887652</v>
      </c>
      <c r="BN105" s="11">
        <f t="shared" si="89"/>
        <v>-1114.2061281337049</v>
      </c>
      <c r="BO105" s="11">
        <f t="shared" si="90"/>
        <v>-2642.80408542247</v>
      </c>
      <c r="BQ105" s="44">
        <f t="shared" si="91"/>
        <v>0.0506</v>
      </c>
      <c r="BR105" s="11">
        <f>BR$5+SUM(BS$5:BS104)+SUM(R$5:R104)-SUM(S$5:S104)+SUM(BV$5:BV104)</f>
        <v>408209.9389006618</v>
      </c>
      <c r="BS105" s="10">
        <f t="shared" si="101"/>
        <v>-581.7432511369666</v>
      </c>
      <c r="BT105" s="10">
        <f t="shared" si="102"/>
        <v>-1721.2852423644572</v>
      </c>
      <c r="BU105" s="10">
        <f>IF(U105&lt;0,PMT(BQ105/12,Podsumowanie!E$8-SUM(AB$5:AB105)+1,BR105),0)</f>
        <v>-2303.028493501424</v>
      </c>
      <c r="BV105" s="10">
        <f t="shared" si="96"/>
        <v>443.6173376784227</v>
      </c>
      <c r="BX105" s="11">
        <f>BX$5+SUM(BZ$5:BZ104)+SUM(R$5:R104)-SUM(S$5:S104)+SUM(CB$5,CB104)</f>
        <v>364036.0318880212</v>
      </c>
      <c r="BY105" s="10">
        <f t="shared" si="92"/>
        <v>-1535.0186011278229</v>
      </c>
      <c r="BZ105" s="10">
        <f t="shared" si="93"/>
        <v>-1116.6749444417828</v>
      </c>
      <c r="CA105" s="10">
        <f t="shared" si="103"/>
        <v>-2651.6935455696057</v>
      </c>
      <c r="CB105" s="10">
        <f t="shared" si="104"/>
        <v>792.2823897466046</v>
      </c>
      <c r="CD105" s="10">
        <f>CD$5+SUM(CE$5:CE104)+SUM(R$5:R104)-SUM(S$5:S104)-SUM(CF$5:CF104)</f>
        <v>404577.5326929511</v>
      </c>
      <c r="CE105" s="10">
        <f t="shared" si="97"/>
        <v>1535.0186011278229</v>
      </c>
      <c r="CF105" s="10">
        <f t="shared" si="98"/>
        <v>1859.411155823001</v>
      </c>
      <c r="CG105" s="10">
        <f t="shared" si="99"/>
        <v>324.3925546951782</v>
      </c>
      <c r="CI105" s="44">
        <v>0.6029</v>
      </c>
      <c r="CJ105" s="10">
        <f t="shared" si="100"/>
        <v>-1121.04</v>
      </c>
      <c r="CK105" s="4">
        <f t="shared" si="105"/>
        <v>0</v>
      </c>
      <c r="CM105" s="10">
        <f t="shared" si="106"/>
        <v>-65161.957146026296</v>
      </c>
      <c r="CN105" s="4">
        <f t="shared" si="107"/>
        <v>-209.06127917683435</v>
      </c>
    </row>
    <row r="106" spans="1:92" ht="15.75">
      <c r="A106" s="36"/>
      <c r="B106" s="37">
        <v>40330</v>
      </c>
      <c r="C106" s="77">
        <f t="shared" si="85"/>
        <v>2.9778</v>
      </c>
      <c r="D106" s="78">
        <f>C106*(1+Podsumowanie!E$11)</f>
        <v>3.067134</v>
      </c>
      <c r="E106" s="34">
        <f aca="true" t="shared" si="117" ref="E106:E162">Z106</f>
        <v>-618.9620602796977</v>
      </c>
      <c r="F106" s="7">
        <f t="shared" si="82"/>
        <v>-1898.43957979391</v>
      </c>
      <c r="G106" s="7">
        <f aca="true" t="shared" si="118" ref="G106:G167">U106</f>
        <v>-1365.1740546840572</v>
      </c>
      <c r="H106" s="7">
        <f t="shared" si="83"/>
        <v>533.2655251098529</v>
      </c>
      <c r="I106" s="32"/>
      <c r="J106" s="4" t="str">
        <f t="shared" si="113"/>
        <v xml:space="preserve"> </v>
      </c>
      <c r="K106" s="4">
        <f>IF(B106&lt;Podsumowanie!E$7,0,K105+1)</f>
        <v>36</v>
      </c>
      <c r="L106" s="100">
        <f t="shared" si="86"/>
        <v>0.0011</v>
      </c>
      <c r="M106" s="38">
        <f>L106+Podsumowanie!E$6</f>
        <v>0.0131</v>
      </c>
      <c r="N106" s="101">
        <f>MAX(Podsumowanie!E$4+SUM(AA$5:AA105)-SUM(X$5:X106)+SUM(W$5:W106),0)</f>
        <v>169705.02614767555</v>
      </c>
      <c r="O106" s="102">
        <f>MAX(Podsumowanie!E$2+SUM(V$5:V105)-SUM(S$5:S106)+SUM(R$5:R106),0)</f>
        <v>374299.0298009471</v>
      </c>
      <c r="P106" s="39">
        <f t="shared" si="58"/>
        <v>360</v>
      </c>
      <c r="Q106" s="40" t="str">
        <f>IF(AND(K106&gt;0,K106&lt;=Podsumowanie!E$9),"tak","nie")</f>
        <v>nie</v>
      </c>
      <c r="R106" s="41"/>
      <c r="S106" s="42"/>
      <c r="T106" s="88">
        <f aca="true" t="shared" si="119" ref="T106:T169">IF(AB106=1,-O106*M106/12,0)</f>
        <v>-408.60977419936734</v>
      </c>
      <c r="U106" s="89">
        <f>IF(Q106="tak",T106,IF(P106-SUM(AB$5:AB106)+1&gt;0,IF(Podsumowanie!E$7&lt;B106,IF(SUM(AB$5:AB106)-Podsumowanie!E$9+1&gt;0,PMT(M106/12,P106+1-SUM(AB$5:AB106),O106),T106),0),0))</f>
        <v>-1365.1740546840572</v>
      </c>
      <c r="V106" s="89">
        <f t="shared" si="84"/>
        <v>-956.5642804846898</v>
      </c>
      <c r="W106" s="90" t="str">
        <f>IF(R106&gt;0,R106/(C106*(1-Podsumowanie!E$11))," ")</f>
        <v xml:space="preserve"> </v>
      </c>
      <c r="X106" s="90">
        <f t="shared" si="94"/>
        <v>0</v>
      </c>
      <c r="Y106" s="91">
        <f t="shared" si="112"/>
        <v>-185.26132021121248</v>
      </c>
      <c r="Z106" s="90">
        <f>IF(P106-SUM(AB$5:AB106)+1&gt;0,IF(Podsumowanie!E$7&lt;B106,IF(SUM(AB$5:AB106)-Podsumowanie!E$9+1&gt;0,PMT(M106/12,P106+1-SUM(AB$5:AB106),N106),Y106),0),0)</f>
        <v>-618.9620602796977</v>
      </c>
      <c r="AA106" s="90">
        <f t="shared" si="80"/>
        <v>-433.7007400684852</v>
      </c>
      <c r="AB106" s="8">
        <f>IF(AND(Podsumowanie!E$7&lt;B106,SUM(AB$5:AB105)&lt;P105),1," ")</f>
        <v>1</v>
      </c>
      <c r="AD106" s="51">
        <f>IF(OR(B106&lt;Podsumowanie!E$12,Podsumowanie!E$12=""),-F106+S106,0)</f>
        <v>1898.43957979391</v>
      </c>
      <c r="AE106" s="51">
        <f t="shared" si="95"/>
        <v>0</v>
      </c>
      <c r="AG106" s="10">
        <f>Podsumowanie!E$4-SUM(AI$5:AI105)+SUM(W$42:W106)-SUM(X$42:X106)</f>
        <v>164181.8781355522</v>
      </c>
      <c r="AH106" s="10">
        <f aca="true" t="shared" si="120" ref="AH106:AH169">IF(AB106=1,ROUND(AG106*M106/12,2),0)</f>
        <v>179.23</v>
      </c>
      <c r="AI106" s="10">
        <f aca="true" t="shared" si="121" ref="AI106:AI169">IF(Q106="tak",0,IF(AB106=1,ROUND(AG106/(P106-K106+1),2),0))</f>
        <v>505.18</v>
      </c>
      <c r="AJ106" s="10">
        <f t="shared" si="64"/>
        <v>684.41</v>
      </c>
      <c r="AK106" s="10">
        <f t="shared" si="114"/>
        <v>2099.18</v>
      </c>
      <c r="AL106" s="10">
        <f>Podsumowanie!E$2-SUM(AN$5:AN105)+SUM(R$42:R106)-SUM(S$42:S106)</f>
        <v>362116.86000000004</v>
      </c>
      <c r="AM106" s="10">
        <f aca="true" t="shared" si="122" ref="AM106:AM169">IF(AB106=1,ROUND(AL106*M106/12,2),0)</f>
        <v>395.31</v>
      </c>
      <c r="AN106" s="10">
        <f aca="true" t="shared" si="123" ref="AN106:AN169">IF(Q106="tak",0,IF(AB106=1,ROUND(AL106/(P106-K106+1),2),0))</f>
        <v>1114.21</v>
      </c>
      <c r="AO106" s="10">
        <f aca="true" t="shared" si="124" ref="AO106:AO169">AN106+AM106</f>
        <v>1509.52</v>
      </c>
      <c r="AP106" s="10">
        <f aca="true" t="shared" si="125" ref="AP106:AP169">AK106-AO106</f>
        <v>589.6599999999999</v>
      </c>
      <c r="AR106" s="43">
        <f t="shared" si="115"/>
        <v>40330</v>
      </c>
      <c r="AS106" s="11">
        <f>AS$5+SUM(AV$5:AV105)-SUM(X$5:X106)+SUM(W$5:W106)</f>
        <v>164613.8753632453</v>
      </c>
      <c r="AT106" s="10">
        <f aca="true" t="shared" si="126" ref="AT106:AT169">IF(AB106=1,-AS106*M106/12,0)</f>
        <v>-179.7034806048761</v>
      </c>
      <c r="AU106" s="10">
        <f>IF(AB106=1,IF(Q106="tak",AT106,PMT(M106/12,P106+1-SUM(AB$5:AB106),AS106)),0)</f>
        <v>-600.3931984713067</v>
      </c>
      <c r="AV106" s="10">
        <f aca="true" t="shared" si="127" ref="AV106:AV169">AU106-AT106</f>
        <v>-420.68971786643067</v>
      </c>
      <c r="AW106" s="10">
        <f aca="true" t="shared" si="128" ref="AW106:AW169">AU106*C106</f>
        <v>-1787.850866407857</v>
      </c>
      <c r="AY106" s="11">
        <f>AY$5+SUM(BA$5:BA105)+SUM(W$5:W105)-SUM(X$5:X105)</f>
        <v>159256.2871914856</v>
      </c>
      <c r="AZ106" s="11">
        <f aca="true" t="shared" si="129" ref="AZ106:AZ169">IF(AB106=1,-AS106*M106/12,0)</f>
        <v>-179.7034806048761</v>
      </c>
      <c r="BA106" s="11">
        <f aca="true" t="shared" si="130" ref="BA106:BA169">IF(AB106=1,IF(Q106="tak",0,ROUND(-AY106/(P106-K106+1),2)),0)</f>
        <v>-490.02</v>
      </c>
      <c r="BB106" s="11">
        <f aca="true" t="shared" si="131" ref="BB106:BB111">BA106+AZ106</f>
        <v>-669.723480604876</v>
      </c>
      <c r="BC106" s="11">
        <f t="shared" si="116"/>
        <v>-1994.3025805451998</v>
      </c>
      <c r="BE106" s="172">
        <f t="shared" si="87"/>
        <v>0.0386</v>
      </c>
      <c r="BF106" s="44">
        <f>BE106+Podsumowanie!$E$6</f>
        <v>0.050600000000000006</v>
      </c>
      <c r="BG106" s="11">
        <f>BG$5+SUM(BH$5:BH105)+SUM(R$5:R105)-SUM(S$5:S105)</f>
        <v>385994.56136267795</v>
      </c>
      <c r="BH106" s="10">
        <f t="shared" si="81"/>
        <v>-553.191817496629</v>
      </c>
      <c r="BI106" s="10">
        <f aca="true" t="shared" si="132" ref="BI106:BI169">IF(BJ106&lt;0,-BG106*BF106/12,0)</f>
        <v>-1627.6104004126255</v>
      </c>
      <c r="BJ106" s="10">
        <f>IF(U106&lt;0,PMT(BF106/12,Podsumowanie!E$8-SUM(AB$5:AB106)+1,BG106),0)</f>
        <v>-2180.8022179092545</v>
      </c>
      <c r="BL106" s="11">
        <f>BL$5+SUM(BN$5:BN105)+SUM(R$5:R105)-SUM(S$5:S105)</f>
        <v>362116.99164345406</v>
      </c>
      <c r="BM106" s="11">
        <f t="shared" si="88"/>
        <v>-1526.926648096565</v>
      </c>
      <c r="BN106" s="11">
        <f t="shared" si="89"/>
        <v>-1114.2061281337049</v>
      </c>
      <c r="BO106" s="11">
        <f t="shared" si="90"/>
        <v>-2641.13277623027</v>
      </c>
      <c r="BQ106" s="44">
        <f t="shared" si="91"/>
        <v>0.0507</v>
      </c>
      <c r="BR106" s="11">
        <f>BR$5+SUM(BS$5:BS105)+SUM(R$5:R105)-SUM(S$5:S105)+SUM(BV$5:BV105)</f>
        <v>408071.8129872032</v>
      </c>
      <c r="BS106" s="10">
        <f t="shared" si="101"/>
        <v>-583.8686194158006</v>
      </c>
      <c r="BT106" s="10">
        <f t="shared" si="102"/>
        <v>-1724.1034098709335</v>
      </c>
      <c r="BU106" s="10">
        <f>IF(U106&lt;0,PMT(BQ106/12,Podsumowanie!E$8-SUM(AB$5:AB106)+1,BR106),0)</f>
        <v>-2307.972029286734</v>
      </c>
      <c r="BV106" s="10">
        <f t="shared" si="96"/>
        <v>409.53244949282407</v>
      </c>
      <c r="BX106" s="11">
        <f>BX$5+SUM(BZ$5:BZ105)+SUM(R$5:R105)-SUM(S$5:S105)+SUM(CB$5,CB105)</f>
        <v>362794.4814400156</v>
      </c>
      <c r="BY106" s="10">
        <f t="shared" si="92"/>
        <v>-1532.8066840840659</v>
      </c>
      <c r="BZ106" s="10">
        <f t="shared" si="93"/>
        <v>-1116.2907121231249</v>
      </c>
      <c r="CA106" s="10">
        <f t="shared" si="103"/>
        <v>-2649.0973962071907</v>
      </c>
      <c r="CB106" s="10">
        <f t="shared" si="104"/>
        <v>750.6578164132807</v>
      </c>
      <c r="CD106" s="10">
        <f>CD$5+SUM(CE$5:CE105)+SUM(R$5:R105)-SUM(S$5:S105)-SUM(CF$5:CF105)</f>
        <v>404253.1401382559</v>
      </c>
      <c r="CE106" s="10">
        <f t="shared" si="97"/>
        <v>1532.8066840840659</v>
      </c>
      <c r="CF106" s="10">
        <f t="shared" si="98"/>
        <v>1898.43957979391</v>
      </c>
      <c r="CG106" s="10">
        <f t="shared" si="99"/>
        <v>365.6328957098442</v>
      </c>
      <c r="CI106" s="44">
        <v>0.5981</v>
      </c>
      <c r="CJ106" s="10">
        <f t="shared" si="100"/>
        <v>-1135.46</v>
      </c>
      <c r="CK106" s="4">
        <f t="shared" si="105"/>
        <v>0</v>
      </c>
      <c r="CM106" s="10">
        <f t="shared" si="106"/>
        <v>-67060.3967258202</v>
      </c>
      <c r="CN106" s="4">
        <f t="shared" si="107"/>
        <v>-215.71094280138834</v>
      </c>
    </row>
    <row r="107" spans="1:92" ht="15.75">
      <c r="A107" s="36"/>
      <c r="B107" s="37">
        <v>40360</v>
      </c>
      <c r="C107" s="77">
        <f t="shared" si="85"/>
        <v>3.0308</v>
      </c>
      <c r="D107" s="78">
        <f>C107*(1+Podsumowanie!E$11)</f>
        <v>3.1217240000000004</v>
      </c>
      <c r="E107" s="34">
        <f t="shared" si="117"/>
        <v>-618.9620602796978</v>
      </c>
      <c r="F107" s="7">
        <f t="shared" si="82"/>
        <v>-1932.2287186645794</v>
      </c>
      <c r="G107" s="7">
        <f t="shared" si="118"/>
        <v>-1365.1740546840572</v>
      </c>
      <c r="H107" s="7">
        <f t="shared" si="83"/>
        <v>567.0546639805223</v>
      </c>
      <c r="I107" s="32"/>
      <c r="J107" s="4" t="str">
        <f t="shared" si="113"/>
        <v xml:space="preserve"> </v>
      </c>
      <c r="K107" s="4">
        <f>IF(B107&lt;Podsumowanie!E$7,0,K106+1)</f>
        <v>37</v>
      </c>
      <c r="L107" s="100">
        <f t="shared" si="86"/>
        <v>0.0011</v>
      </c>
      <c r="M107" s="38">
        <f>L107+Podsumowanie!E$6</f>
        <v>0.0131</v>
      </c>
      <c r="N107" s="101">
        <f>MAX(Podsumowanie!E$4+SUM(AA$5:AA106)-SUM(X$5:X107)+SUM(W$5:W107),0)</f>
        <v>169271.32540760707</v>
      </c>
      <c r="O107" s="102">
        <f>MAX(Podsumowanie!E$2+SUM(V$5:V106)-SUM(S$5:S107)+SUM(R$5:R107),0)</f>
        <v>373342.4655204624</v>
      </c>
      <c r="P107" s="39">
        <f aca="true" t="shared" si="133" ref="P107:P170">P106</f>
        <v>360</v>
      </c>
      <c r="Q107" s="40" t="str">
        <f>IF(AND(K107&gt;0,K107&lt;=Podsumowanie!E$9),"tak","nie")</f>
        <v>nie</v>
      </c>
      <c r="R107" s="41"/>
      <c r="S107" s="42"/>
      <c r="T107" s="88">
        <f t="shared" si="119"/>
        <v>-407.56552485983815</v>
      </c>
      <c r="U107" s="89">
        <f>IF(Q107="tak",T107,IF(P107-SUM(AB$5:AB107)+1&gt;0,IF(Podsumowanie!E$7&lt;B107,IF(SUM(AB$5:AB107)-Podsumowanie!E$9+1&gt;0,PMT(M107/12,P107+1-SUM(AB$5:AB107),O107),T107),0),0))</f>
        <v>-1365.1740546840572</v>
      </c>
      <c r="V107" s="89">
        <f t="shared" si="84"/>
        <v>-957.608529824219</v>
      </c>
      <c r="W107" s="90" t="str">
        <f>IF(R107&gt;0,R107/(C107*(1-Podsumowanie!E$11))," ")</f>
        <v xml:space="preserve"> </v>
      </c>
      <c r="X107" s="90">
        <f t="shared" si="94"/>
        <v>0</v>
      </c>
      <c r="Y107" s="91">
        <f t="shared" si="112"/>
        <v>-184.78786356997105</v>
      </c>
      <c r="Z107" s="90">
        <f>IF(P107-SUM(AB$5:AB107)+1&gt;0,IF(Podsumowanie!E$7&lt;B107,IF(SUM(AB$5:AB107)-Podsumowanie!E$9+1&gt;0,PMT(M107/12,P107+1-SUM(AB$5:AB107),N107),Y107),0),0)</f>
        <v>-618.9620602796978</v>
      </c>
      <c r="AA107" s="90">
        <f t="shared" si="80"/>
        <v>-434.17419670972674</v>
      </c>
      <c r="AB107" s="8">
        <f>IF(AND(Podsumowanie!E$7&lt;B107,SUM(AB$5:AB106)&lt;P106),1," ")</f>
        <v>1</v>
      </c>
      <c r="AD107" s="51">
        <f>IF(OR(B107&lt;Podsumowanie!E$12,Podsumowanie!E$12=""),-F107+S107,0)</f>
        <v>1932.2287186645794</v>
      </c>
      <c r="AE107" s="51">
        <f t="shared" si="95"/>
        <v>0</v>
      </c>
      <c r="AG107" s="10">
        <f>Podsumowanie!E$4-SUM(AI$5:AI106)+SUM(W$42:W107)-SUM(X$42:X107)</f>
        <v>163676.6981355522</v>
      </c>
      <c r="AH107" s="10">
        <f t="shared" si="120"/>
        <v>178.68</v>
      </c>
      <c r="AI107" s="10">
        <f t="shared" si="121"/>
        <v>505.17</v>
      </c>
      <c r="AJ107" s="10">
        <f aca="true" t="shared" si="134" ref="AJ107:AJ170">AI107+AH107</f>
        <v>683.85</v>
      </c>
      <c r="AK107" s="10">
        <f t="shared" si="114"/>
        <v>2134.79</v>
      </c>
      <c r="AL107" s="10">
        <f>Podsumowanie!E$2-SUM(AN$5:AN106)+SUM(R$42:R107)-SUM(S$42:S107)</f>
        <v>361002.65</v>
      </c>
      <c r="AM107" s="10">
        <f t="shared" si="122"/>
        <v>394.09</v>
      </c>
      <c r="AN107" s="10">
        <f t="shared" si="123"/>
        <v>1114.21</v>
      </c>
      <c r="AO107" s="10">
        <f t="shared" si="124"/>
        <v>1508.3</v>
      </c>
      <c r="AP107" s="10">
        <f t="shared" si="125"/>
        <v>626.49</v>
      </c>
      <c r="AR107" s="43">
        <f t="shared" si="115"/>
        <v>40360</v>
      </c>
      <c r="AS107" s="11">
        <f>AS$5+SUM(AV$5:AV106)-SUM(X$5:X107)+SUM(W$5:W107)</f>
        <v>164193.18564537886</v>
      </c>
      <c r="AT107" s="10">
        <f t="shared" si="126"/>
        <v>-179.24422766287194</v>
      </c>
      <c r="AU107" s="10">
        <f>IF(AB107=1,IF(Q107="tak",AT107,PMT(M107/12,P107+1-SUM(AB$5:AB107),AS107)),0)</f>
        <v>-600.3931984713067</v>
      </c>
      <c r="AV107" s="10">
        <f t="shared" si="127"/>
        <v>-421.1489708084348</v>
      </c>
      <c r="AW107" s="10">
        <f t="shared" si="128"/>
        <v>-1819.6717059268365</v>
      </c>
      <c r="AY107" s="11">
        <f>AY$5+SUM(BA$5:BA106)+SUM(W$5:W106)-SUM(X$5:X106)</f>
        <v>158766.26719148562</v>
      </c>
      <c r="AZ107" s="11">
        <f t="shared" si="129"/>
        <v>-179.24422766287194</v>
      </c>
      <c r="BA107" s="11">
        <f t="shared" si="130"/>
        <v>-490.02</v>
      </c>
      <c r="BB107" s="11">
        <f t="shared" si="131"/>
        <v>-669.2642276628719</v>
      </c>
      <c r="BC107" s="11">
        <f t="shared" si="116"/>
        <v>-2028.4060212006323</v>
      </c>
      <c r="BE107" s="172">
        <f t="shared" si="87"/>
        <v>0.0384</v>
      </c>
      <c r="BF107" s="44">
        <f>BE107+Podsumowanie!$E$6</f>
        <v>0.0504</v>
      </c>
      <c r="BG107" s="11">
        <f>BG$5+SUM(BH$5:BH106)+SUM(R$5:R106)-SUM(S$5:S106)</f>
        <v>385441.36954518134</v>
      </c>
      <c r="BH107" s="10">
        <f t="shared" si="81"/>
        <v>-557.3517455975698</v>
      </c>
      <c r="BI107" s="10">
        <f t="shared" si="132"/>
        <v>-1618.8537520897617</v>
      </c>
      <c r="BJ107" s="10">
        <f>IF(U107&lt;0,PMT(BF107/12,Podsumowanie!E$8-SUM(AB$5:AB107)+1,BG107),0)</f>
        <v>-2176.2054976873314</v>
      </c>
      <c r="BL107" s="11">
        <f>BL$5+SUM(BN$5:BN106)+SUM(R$5:R106)-SUM(S$5:S106)</f>
        <v>361002.7855153203</v>
      </c>
      <c r="BM107" s="11">
        <f t="shared" si="88"/>
        <v>-1516.2116991643452</v>
      </c>
      <c r="BN107" s="11">
        <f t="shared" si="89"/>
        <v>-1114.2061281337046</v>
      </c>
      <c r="BO107" s="11">
        <f t="shared" si="90"/>
        <v>-2630.41782729805</v>
      </c>
      <c r="BQ107" s="44">
        <f t="shared" si="91"/>
        <v>0.050499999999999996</v>
      </c>
      <c r="BR107" s="11">
        <f>BR$5+SUM(BS$5:BS106)+SUM(R$5:R106)-SUM(S$5:S106)+SUM(BV$5:BV106)</f>
        <v>407897.4768172802</v>
      </c>
      <c r="BS107" s="10">
        <f t="shared" si="101"/>
        <v>-588.855965964837</v>
      </c>
      <c r="BT107" s="10">
        <f t="shared" si="102"/>
        <v>-1716.568548272721</v>
      </c>
      <c r="BU107" s="10">
        <f>IF(U107&lt;0,PMT(BQ107/12,Podsumowanie!E$8-SUM(AB$5:AB107)+1,BR107),0)</f>
        <v>-2305.424514237558</v>
      </c>
      <c r="BV107" s="10">
        <f t="shared" si="96"/>
        <v>373.19579557297857</v>
      </c>
      <c r="BX107" s="11">
        <f>BX$5+SUM(BZ$5:BZ106)+SUM(R$5:R106)-SUM(S$5:S106)+SUM(CB$5,CB106)</f>
        <v>361636.5661545591</v>
      </c>
      <c r="BY107" s="10">
        <f t="shared" si="92"/>
        <v>-1521.887215900436</v>
      </c>
      <c r="BZ107" s="10">
        <f t="shared" si="93"/>
        <v>-1116.1622412177749</v>
      </c>
      <c r="CA107" s="10">
        <f t="shared" si="103"/>
        <v>-2638.0494571182107</v>
      </c>
      <c r="CB107" s="10">
        <f t="shared" si="104"/>
        <v>705.8207384536313</v>
      </c>
      <c r="CD107" s="10">
        <f>CD$5+SUM(CE$5:CE106)+SUM(R$5:R106)-SUM(S$5:S106)-SUM(CF$5:CF106)</f>
        <v>403887.50724254607</v>
      </c>
      <c r="CE107" s="10">
        <f t="shared" si="97"/>
        <v>1521.887215900436</v>
      </c>
      <c r="CF107" s="10">
        <f t="shared" si="98"/>
        <v>1932.2287186645794</v>
      </c>
      <c r="CG107" s="10">
        <f t="shared" si="99"/>
        <v>410.34150276414334</v>
      </c>
      <c r="CI107" s="44">
        <v>0.5933</v>
      </c>
      <c r="CJ107" s="10">
        <f t="shared" si="100"/>
        <v>-1146.39</v>
      </c>
      <c r="CK107" s="4">
        <f t="shared" si="105"/>
        <v>0</v>
      </c>
      <c r="CM107" s="10">
        <f t="shared" si="106"/>
        <v>-68992.62544448479</v>
      </c>
      <c r="CN107" s="4">
        <f t="shared" si="107"/>
        <v>-220.7764014223513</v>
      </c>
    </row>
    <row r="108" spans="1:92" ht="15.75">
      <c r="A108" s="36"/>
      <c r="B108" s="37">
        <v>40391</v>
      </c>
      <c r="C108" s="77">
        <f t="shared" si="85"/>
        <v>2.9725</v>
      </c>
      <c r="D108" s="78">
        <f>C108*(1+Podsumowanie!E$11)</f>
        <v>3.061675</v>
      </c>
      <c r="E108" s="34">
        <f t="shared" si="117"/>
        <v>-618.9620602796977</v>
      </c>
      <c r="F108" s="7">
        <f t="shared" si="82"/>
        <v>-1895.0606659068435</v>
      </c>
      <c r="G108" s="7">
        <f t="shared" si="118"/>
        <v>-1365.1740546840572</v>
      </c>
      <c r="H108" s="7">
        <f t="shared" si="83"/>
        <v>529.8866112227863</v>
      </c>
      <c r="I108" s="32"/>
      <c r="J108" s="4" t="str">
        <f t="shared" si="113"/>
        <v xml:space="preserve"> </v>
      </c>
      <c r="K108" s="4">
        <f>IF(B108&lt;Podsumowanie!E$7,0,K107+1)</f>
        <v>38</v>
      </c>
      <c r="L108" s="100">
        <f t="shared" si="86"/>
        <v>0.0011</v>
      </c>
      <c r="M108" s="38">
        <f>L108+Podsumowanie!E$6</f>
        <v>0.0131</v>
      </c>
      <c r="N108" s="101">
        <f>MAX(Podsumowanie!E$4+SUM(AA$5:AA107)-SUM(X$5:X108)+SUM(W$5:W108),0)</f>
        <v>168837.15121089734</v>
      </c>
      <c r="O108" s="102">
        <f>MAX(Podsumowanie!E$2+SUM(V$5:V107)-SUM(S$5:S108)+SUM(R$5:R108),0)</f>
        <v>372384.8569906382</v>
      </c>
      <c r="P108" s="39">
        <f t="shared" si="133"/>
        <v>360</v>
      </c>
      <c r="Q108" s="40" t="str">
        <f>IF(AND(K108&gt;0,K108&lt;=Podsumowanie!E$9),"tak","nie")</f>
        <v>nie</v>
      </c>
      <c r="R108" s="41"/>
      <c r="S108" s="42"/>
      <c r="T108" s="88">
        <f t="shared" si="119"/>
        <v>-406.5201355481134</v>
      </c>
      <c r="U108" s="89">
        <f>IF(Q108="tak",T108,IF(P108-SUM(AB$5:AB108)+1&gt;0,IF(Podsumowanie!E$7&lt;B108,IF(SUM(AB$5:AB108)-Podsumowanie!E$9+1&gt;0,PMT(M108/12,P108+1-SUM(AB$5:AB108),O108),T108),0),0))</f>
        <v>-1365.1740546840572</v>
      </c>
      <c r="V108" s="89">
        <f t="shared" si="84"/>
        <v>-958.6539191359439</v>
      </c>
      <c r="W108" s="90" t="str">
        <f>IF(R108&gt;0,R108/(C108*(1-Podsumowanie!E$11))," ")</f>
        <v xml:space="preserve"> </v>
      </c>
      <c r="X108" s="90">
        <f t="shared" si="94"/>
        <v>0</v>
      </c>
      <c r="Y108" s="91">
        <f t="shared" si="112"/>
        <v>-184.31389007189625</v>
      </c>
      <c r="Z108" s="90">
        <f>IF(P108-SUM(AB$5:AB108)+1&gt;0,IF(Podsumowanie!E$7&lt;B108,IF(SUM(AB$5:AB108)-Podsumowanie!E$9+1&gt;0,PMT(M108/12,P108+1-SUM(AB$5:AB108),N108),Y108),0),0)</f>
        <v>-618.9620602796977</v>
      </c>
      <c r="AA108" s="90">
        <f t="shared" si="80"/>
        <v>-434.6481702078014</v>
      </c>
      <c r="AB108" s="8">
        <f>IF(AND(Podsumowanie!E$7&lt;B108,SUM(AB$5:AB107)&lt;P107),1," ")</f>
        <v>1</v>
      </c>
      <c r="AD108" s="51">
        <f>IF(OR(B108&lt;Podsumowanie!E$12,Podsumowanie!E$12=""),-F108+S108,0)</f>
        <v>1895.0606659068435</v>
      </c>
      <c r="AE108" s="51">
        <f t="shared" si="95"/>
        <v>0</v>
      </c>
      <c r="AG108" s="10">
        <f>Podsumowanie!E$4-SUM(AI$5:AI107)+SUM(W$42:W108)-SUM(X$42:X108)</f>
        <v>163171.5281355522</v>
      </c>
      <c r="AH108" s="10">
        <f t="shared" si="120"/>
        <v>178.13</v>
      </c>
      <c r="AI108" s="10">
        <f t="shared" si="121"/>
        <v>505.18</v>
      </c>
      <c r="AJ108" s="10">
        <f t="shared" si="134"/>
        <v>683.31</v>
      </c>
      <c r="AK108" s="10">
        <f t="shared" si="114"/>
        <v>2092.07</v>
      </c>
      <c r="AL108" s="10">
        <f>Podsumowanie!E$2-SUM(AN$5:AN107)+SUM(R$42:R108)-SUM(S$42:S108)</f>
        <v>359888.44</v>
      </c>
      <c r="AM108" s="10">
        <f t="shared" si="122"/>
        <v>392.88</v>
      </c>
      <c r="AN108" s="10">
        <f t="shared" si="123"/>
        <v>1114.21</v>
      </c>
      <c r="AO108" s="10">
        <f t="shared" si="124"/>
        <v>1507.0900000000001</v>
      </c>
      <c r="AP108" s="10">
        <f t="shared" si="125"/>
        <v>584.98</v>
      </c>
      <c r="AR108" s="43">
        <f t="shared" si="115"/>
        <v>40391</v>
      </c>
      <c r="AS108" s="11">
        <f>AS$5+SUM(AV$5:AV107)-SUM(X$5:X108)+SUM(W$5:W108)</f>
        <v>163772.0366745704</v>
      </c>
      <c r="AT108" s="10">
        <f t="shared" si="126"/>
        <v>-178.78447336973935</v>
      </c>
      <c r="AU108" s="10">
        <f>IF(AB108=1,IF(Q108="tak",AT108,PMT(M108/12,P108+1-SUM(AB$5:AB108),AS108)),0)</f>
        <v>-600.3931984713066</v>
      </c>
      <c r="AV108" s="10">
        <f t="shared" si="127"/>
        <v>-421.6087251015673</v>
      </c>
      <c r="AW108" s="10">
        <f t="shared" si="128"/>
        <v>-1784.668782455959</v>
      </c>
      <c r="AY108" s="11">
        <f>AY$5+SUM(BA$5:BA107)+SUM(W$5:W107)-SUM(X$5:X107)</f>
        <v>158276.24719148563</v>
      </c>
      <c r="AZ108" s="11">
        <f t="shared" si="129"/>
        <v>-178.78447336973935</v>
      </c>
      <c r="BA108" s="11">
        <f t="shared" si="130"/>
        <v>-490.02</v>
      </c>
      <c r="BB108" s="11">
        <f t="shared" si="131"/>
        <v>-668.8044733697393</v>
      </c>
      <c r="BC108" s="11">
        <f t="shared" si="116"/>
        <v>-1988.0212970915502</v>
      </c>
      <c r="BE108" s="172">
        <f t="shared" si="87"/>
        <v>0.0381</v>
      </c>
      <c r="BF108" s="44">
        <f>BE108+Podsumowanie!$E$6</f>
        <v>0.050100000000000006</v>
      </c>
      <c r="BG108" s="11">
        <f>BG$5+SUM(BH$5:BH107)+SUM(R$5:R107)-SUM(S$5:S107)</f>
        <v>384884.01779958373</v>
      </c>
      <c r="BH108" s="10">
        <f t="shared" si="81"/>
        <v>-562.4441493282802</v>
      </c>
      <c r="BI108" s="10">
        <f t="shared" si="132"/>
        <v>-1606.8907743132622</v>
      </c>
      <c r="BJ108" s="10">
        <f>IF(U108&lt;0,PMT(BF108/12,Podsumowanie!E$8-SUM(AB$5:AB108)+1,BG108),0)</f>
        <v>-2169.3349236415424</v>
      </c>
      <c r="BL108" s="11">
        <f>BL$5+SUM(BN$5:BN107)+SUM(R$5:R107)-SUM(S$5:S107)</f>
        <v>359888.5793871866</v>
      </c>
      <c r="BM108" s="11">
        <f t="shared" si="88"/>
        <v>-1502.5348189415045</v>
      </c>
      <c r="BN108" s="11">
        <f t="shared" si="89"/>
        <v>-1114.2061281337046</v>
      </c>
      <c r="BO108" s="11">
        <f t="shared" si="90"/>
        <v>-2616.740947075209</v>
      </c>
      <c r="BQ108" s="44">
        <f t="shared" si="91"/>
        <v>0.0502</v>
      </c>
      <c r="BR108" s="11">
        <f>BR$5+SUM(BS$5:BS107)+SUM(R$5:R107)-SUM(S$5:S107)+SUM(BV$5:BV107)</f>
        <v>407681.81664688844</v>
      </c>
      <c r="BS108" s="10">
        <f t="shared" si="101"/>
        <v>-594.7865794520119</v>
      </c>
      <c r="BT108" s="10">
        <f t="shared" si="102"/>
        <v>-1705.468932972817</v>
      </c>
      <c r="BU108" s="10">
        <f>IF(U108&lt;0,PMT(BQ108/12,Podsumowanie!E$8-SUM(AB$5:AB108)+1,BR108),0)</f>
        <v>-2300.255512424829</v>
      </c>
      <c r="BV108" s="10">
        <f t="shared" si="96"/>
        <v>405.1948465179853</v>
      </c>
      <c r="BX108" s="11">
        <f>BX$5+SUM(BZ$5:BZ107)+SUM(R$5:R107)-SUM(S$5:S107)+SUM(CB$5,CB107)</f>
        <v>360475.5668353817</v>
      </c>
      <c r="BY108" s="10">
        <f t="shared" si="92"/>
        <v>-1507.98945459468</v>
      </c>
      <c r="BZ108" s="10">
        <f t="shared" si="93"/>
        <v>-1116.0234267349279</v>
      </c>
      <c r="CA108" s="10">
        <f t="shared" si="103"/>
        <v>-2624.012881329608</v>
      </c>
      <c r="CB108" s="10">
        <f t="shared" si="104"/>
        <v>728.9522154227643</v>
      </c>
      <c r="CD108" s="10">
        <f>CD$5+SUM(CE$5:CE107)+SUM(R$5:R107)-SUM(S$5:S107)-SUM(CF$5:CF107)</f>
        <v>403477.1657397819</v>
      </c>
      <c r="CE108" s="10">
        <f t="shared" si="97"/>
        <v>1507.98945459468</v>
      </c>
      <c r="CF108" s="10">
        <f t="shared" si="98"/>
        <v>1895.0606659068435</v>
      </c>
      <c r="CG108" s="10">
        <f t="shared" si="99"/>
        <v>387.07121131216354</v>
      </c>
      <c r="CI108" s="44">
        <v>0.5965</v>
      </c>
      <c r="CJ108" s="10">
        <f t="shared" si="100"/>
        <v>-1130.4</v>
      </c>
      <c r="CK108" s="4">
        <f t="shared" si="105"/>
        <v>0</v>
      </c>
      <c r="CM108" s="10">
        <f t="shared" si="106"/>
        <v>-70887.68611039163</v>
      </c>
      <c r="CN108" s="4">
        <f t="shared" si="107"/>
        <v>-225.06840340049345</v>
      </c>
    </row>
    <row r="109" spans="1:92" ht="15.75">
      <c r="A109" s="36"/>
      <c r="B109" s="37">
        <v>40422</v>
      </c>
      <c r="C109" s="77">
        <f t="shared" si="85"/>
        <v>3.0196</v>
      </c>
      <c r="D109" s="78">
        <f>C109*(1+Podsumowanie!E$11)</f>
        <v>3.110188</v>
      </c>
      <c r="E109" s="34">
        <f t="shared" si="117"/>
        <v>-618.9620602796978</v>
      </c>
      <c r="F109" s="7">
        <f t="shared" si="82"/>
        <v>-1925.0883723371926</v>
      </c>
      <c r="G109" s="7">
        <f t="shared" si="118"/>
        <v>-1365.1740546840574</v>
      </c>
      <c r="H109" s="7">
        <f t="shared" si="83"/>
        <v>559.9143176531352</v>
      </c>
      <c r="I109" s="32"/>
      <c r="J109" s="4" t="str">
        <f t="shared" si="113"/>
        <v xml:space="preserve"> </v>
      </c>
      <c r="K109" s="4">
        <f>IF(B109&lt;Podsumowanie!E$7,0,K108+1)</f>
        <v>39</v>
      </c>
      <c r="L109" s="100">
        <f t="shared" si="86"/>
        <v>0.0011</v>
      </c>
      <c r="M109" s="38">
        <f>L109+Podsumowanie!E$6</f>
        <v>0.0131</v>
      </c>
      <c r="N109" s="101">
        <f>MAX(Podsumowanie!E$4+SUM(AA$5:AA108)-SUM(X$5:X109)+SUM(W$5:W109),0)</f>
        <v>168402.50304068954</v>
      </c>
      <c r="O109" s="102">
        <f>MAX(Podsumowanie!E$2+SUM(V$5:V108)-SUM(S$5:S109)+SUM(R$5:R109),0)</f>
        <v>371426.20307150227</v>
      </c>
      <c r="P109" s="39">
        <f t="shared" si="133"/>
        <v>360</v>
      </c>
      <c r="Q109" s="40" t="str">
        <f>IF(AND(K109&gt;0,K109&lt;=Podsumowanie!E$9),"tak","nie")</f>
        <v>nie</v>
      </c>
      <c r="R109" s="41"/>
      <c r="S109" s="42"/>
      <c r="T109" s="88">
        <f t="shared" si="119"/>
        <v>-405.4736050197234</v>
      </c>
      <c r="U109" s="89">
        <f>IF(Q109="tak",T109,IF(P109-SUM(AB$5:AB109)+1&gt;0,IF(Podsumowanie!E$7&lt;B109,IF(SUM(AB$5:AB109)-Podsumowanie!E$9+1&gt;0,PMT(M109/12,P109+1-SUM(AB$5:AB109),O109),T109),0),0))</f>
        <v>-1365.1740546840574</v>
      </c>
      <c r="V109" s="89">
        <f t="shared" si="84"/>
        <v>-959.700449664334</v>
      </c>
      <c r="W109" s="90" t="str">
        <f>IF(R109&gt;0,R109/(C109*(1-Podsumowanie!E$11))," ")</f>
        <v xml:space="preserve"> </v>
      </c>
      <c r="X109" s="90">
        <f t="shared" si="94"/>
        <v>0</v>
      </c>
      <c r="Y109" s="91">
        <f t="shared" si="112"/>
        <v>-183.83939915275275</v>
      </c>
      <c r="Z109" s="90">
        <f>IF(P109-SUM(AB$5:AB109)+1&gt;0,IF(Podsumowanie!E$7&lt;B109,IF(SUM(AB$5:AB109)-Podsumowanie!E$9+1&gt;0,PMT(M109/12,P109+1-SUM(AB$5:AB109),N109),Y109),0),0)</f>
        <v>-618.9620602796978</v>
      </c>
      <c r="AA109" s="90">
        <f t="shared" si="80"/>
        <v>-435.122661126945</v>
      </c>
      <c r="AB109" s="8">
        <f>IF(AND(Podsumowanie!E$7&lt;B109,SUM(AB$5:AB108)&lt;P108),1," ")</f>
        <v>1</v>
      </c>
      <c r="AD109" s="51">
        <f>IF(OR(B109&lt;Podsumowanie!E$12,Podsumowanie!E$12=""),-F109+S109,0)</f>
        <v>1925.0883723371926</v>
      </c>
      <c r="AE109" s="51">
        <f t="shared" si="95"/>
        <v>0</v>
      </c>
      <c r="AG109" s="10">
        <f>Podsumowanie!E$4-SUM(AI$5:AI108)+SUM(W$42:W109)-SUM(X$42:X109)</f>
        <v>162666.3481355522</v>
      </c>
      <c r="AH109" s="10">
        <f t="shared" si="120"/>
        <v>177.58</v>
      </c>
      <c r="AI109" s="10">
        <f t="shared" si="121"/>
        <v>505.17</v>
      </c>
      <c r="AJ109" s="10">
        <f t="shared" si="134"/>
        <v>682.75</v>
      </c>
      <c r="AK109" s="10">
        <f t="shared" si="114"/>
        <v>2123.48</v>
      </c>
      <c r="AL109" s="10">
        <f>Podsumowanie!E$2-SUM(AN$5:AN108)+SUM(R$42:R109)-SUM(S$42:S109)</f>
        <v>358774.23000000004</v>
      </c>
      <c r="AM109" s="10">
        <f t="shared" si="122"/>
        <v>391.66</v>
      </c>
      <c r="AN109" s="10">
        <f t="shared" si="123"/>
        <v>1114.21</v>
      </c>
      <c r="AO109" s="10">
        <f t="shared" si="124"/>
        <v>1505.8700000000001</v>
      </c>
      <c r="AP109" s="10">
        <f t="shared" si="125"/>
        <v>617.6099999999999</v>
      </c>
      <c r="AR109" s="43">
        <f t="shared" si="115"/>
        <v>40422</v>
      </c>
      <c r="AS109" s="11">
        <f>AS$5+SUM(AV$5:AV108)-SUM(X$5:X109)+SUM(W$5:W109)</f>
        <v>163350.42794946887</v>
      </c>
      <c r="AT109" s="10">
        <f t="shared" si="126"/>
        <v>-178.3242171781702</v>
      </c>
      <c r="AU109" s="10">
        <f>IF(AB109=1,IF(Q109="tak",AT109,PMT(M109/12,P109+1-SUM(AB$5:AB109),AS109)),0)</f>
        <v>-600.3931984713068</v>
      </c>
      <c r="AV109" s="10">
        <f t="shared" si="127"/>
        <v>-422.06898129313663</v>
      </c>
      <c r="AW109" s="10">
        <f t="shared" si="128"/>
        <v>-1812.9473021039582</v>
      </c>
      <c r="AY109" s="11">
        <f>AY$5+SUM(BA$5:BA108)+SUM(W$5:W108)-SUM(X$5:X108)</f>
        <v>157786.2271914856</v>
      </c>
      <c r="AZ109" s="11">
        <f t="shared" si="129"/>
        <v>-178.3242171781702</v>
      </c>
      <c r="BA109" s="11">
        <f t="shared" si="130"/>
        <v>-490.02</v>
      </c>
      <c r="BB109" s="11">
        <f t="shared" si="131"/>
        <v>-668.3442171781702</v>
      </c>
      <c r="BC109" s="11">
        <f t="shared" si="116"/>
        <v>-2018.1321981912029</v>
      </c>
      <c r="BE109" s="172">
        <f t="shared" si="87"/>
        <v>0.0382</v>
      </c>
      <c r="BF109" s="44">
        <f>BE109+Podsumowanie!$E$6</f>
        <v>0.050199999999999995</v>
      </c>
      <c r="BG109" s="11">
        <f>BG$5+SUM(BH$5:BH108)+SUM(R$5:R108)-SUM(S$5:S108)</f>
        <v>384321.57365025545</v>
      </c>
      <c r="BH109" s="10">
        <f t="shared" si="81"/>
        <v>-563.8734780146783</v>
      </c>
      <c r="BI109" s="10">
        <f t="shared" si="132"/>
        <v>-1607.7452497702352</v>
      </c>
      <c r="BJ109" s="10">
        <f>IF(U109&lt;0,PMT(BF109/12,Podsumowanie!E$8-SUM(AB$5:AB109)+1,BG109),0)</f>
        <v>-2171.6187277849135</v>
      </c>
      <c r="BL109" s="11">
        <f>BL$5+SUM(BN$5:BN108)+SUM(R$5:R108)-SUM(S$5:S108)</f>
        <v>358774.3732590529</v>
      </c>
      <c r="BM109" s="11">
        <f t="shared" si="88"/>
        <v>-1500.8727948003714</v>
      </c>
      <c r="BN109" s="11">
        <f t="shared" si="89"/>
        <v>-1114.2061281337046</v>
      </c>
      <c r="BO109" s="11">
        <f t="shared" si="90"/>
        <v>-2615.078922934076</v>
      </c>
      <c r="BQ109" s="44">
        <f t="shared" si="91"/>
        <v>0.0503</v>
      </c>
      <c r="BR109" s="11">
        <f>BR$5+SUM(BS$5:BS108)+SUM(R$5:R108)-SUM(S$5:S108)+SUM(BV$5:BV108)</f>
        <v>407492.2249139544</v>
      </c>
      <c r="BS109" s="10">
        <f t="shared" si="101"/>
        <v>-596.8962601768305</v>
      </c>
      <c r="BT109" s="10">
        <f t="shared" si="102"/>
        <v>-1708.0715760976589</v>
      </c>
      <c r="BU109" s="10">
        <f>IF(U109&lt;0,PMT(BQ109/12,Podsumowanie!E$8-SUM(AB$5:AB109)+1,BR109),0)</f>
        <v>-2304.9678362744894</v>
      </c>
      <c r="BV109" s="10">
        <f t="shared" si="96"/>
        <v>379.8794639372968</v>
      </c>
      <c r="BX109" s="11">
        <f>BX$5+SUM(BZ$5:BZ108)+SUM(R$5:R108)-SUM(S$5:S108)+SUM(CB$5,CB108)</f>
        <v>359382.6748856159</v>
      </c>
      <c r="BY109" s="10">
        <f t="shared" si="92"/>
        <v>-1506.4123788955396</v>
      </c>
      <c r="BZ109" s="10">
        <f t="shared" si="93"/>
        <v>-1116.0952636199252</v>
      </c>
      <c r="CA109" s="10">
        <f t="shared" si="103"/>
        <v>-2622.507642515465</v>
      </c>
      <c r="CB109" s="10">
        <f t="shared" si="104"/>
        <v>697.4192701782722</v>
      </c>
      <c r="CD109" s="10">
        <f>CD$5+SUM(CE$5:CE108)+SUM(R$5:R108)-SUM(S$5:S108)-SUM(CF$5:CF108)</f>
        <v>403090.0945284697</v>
      </c>
      <c r="CE109" s="10">
        <f t="shared" si="97"/>
        <v>1506.4123788955396</v>
      </c>
      <c r="CF109" s="10">
        <f t="shared" si="98"/>
        <v>1925.0883723371926</v>
      </c>
      <c r="CG109" s="10">
        <f t="shared" si="99"/>
        <v>418.67599344165296</v>
      </c>
      <c r="CI109" s="44">
        <v>0.6029</v>
      </c>
      <c r="CJ109" s="10">
        <f t="shared" si="100"/>
        <v>-1160.64</v>
      </c>
      <c r="CK109" s="4">
        <f t="shared" si="105"/>
        <v>0</v>
      </c>
      <c r="CM109" s="10">
        <f t="shared" si="106"/>
        <v>-72812.77448272883</v>
      </c>
      <c r="CN109" s="4">
        <f t="shared" si="107"/>
        <v>-231.7873321033534</v>
      </c>
    </row>
    <row r="110" spans="1:92" ht="15.75">
      <c r="A110" s="36"/>
      <c r="B110" s="37">
        <v>40452</v>
      </c>
      <c r="C110" s="77">
        <f t="shared" si="85"/>
        <v>2.9358</v>
      </c>
      <c r="D110" s="78">
        <f>C110*(1+Podsumowanie!E$11)</f>
        <v>3.023874</v>
      </c>
      <c r="E110" s="34">
        <f t="shared" si="117"/>
        <v>-618.9620602796978</v>
      </c>
      <c r="F110" s="7">
        <f t="shared" si="82"/>
        <v>-1871.6632810662109</v>
      </c>
      <c r="G110" s="7">
        <f t="shared" si="118"/>
        <v>-1365.1740546840574</v>
      </c>
      <c r="H110" s="7">
        <f t="shared" si="83"/>
        <v>506.48922638215345</v>
      </c>
      <c r="I110" s="32"/>
      <c r="J110" s="4" t="str">
        <f t="shared" si="113"/>
        <v xml:space="preserve"> </v>
      </c>
      <c r="K110" s="4">
        <f>IF(B110&lt;Podsumowanie!E$7,0,K109+1)</f>
        <v>40</v>
      </c>
      <c r="L110" s="100">
        <f t="shared" si="86"/>
        <v>0.0011</v>
      </c>
      <c r="M110" s="38">
        <f>L110+Podsumowanie!E$6</f>
        <v>0.0131</v>
      </c>
      <c r="N110" s="101">
        <f>MAX(Podsumowanie!E$4+SUM(AA$5:AA109)-SUM(X$5:X110)+SUM(W$5:W110),0)</f>
        <v>167967.38037956262</v>
      </c>
      <c r="O110" s="102">
        <f>MAX(Podsumowanie!E$2+SUM(V$5:V109)-SUM(S$5:S110)+SUM(R$5:R110),0)</f>
        <v>370466.50262183795</v>
      </c>
      <c r="P110" s="39">
        <f t="shared" si="133"/>
        <v>360</v>
      </c>
      <c r="Q110" s="40" t="str">
        <f>IF(AND(K110&gt;0,K110&lt;=Podsumowanie!E$9),"tak","nie")</f>
        <v>nie</v>
      </c>
      <c r="R110" s="41"/>
      <c r="S110" s="42"/>
      <c r="T110" s="88">
        <f t="shared" si="119"/>
        <v>-404.4259320288398</v>
      </c>
      <c r="U110" s="89">
        <f>IF(Q110="tak",T110,IF(P110-SUM(AB$5:AB110)+1&gt;0,IF(Podsumowanie!E$7&lt;B110,IF(SUM(AB$5:AB110)-Podsumowanie!E$9+1&gt;0,PMT(M110/12,P110+1-SUM(AB$5:AB110),O110),T110),0),0))</f>
        <v>-1365.1740546840574</v>
      </c>
      <c r="V110" s="89">
        <f t="shared" si="84"/>
        <v>-960.7481226552177</v>
      </c>
      <c r="W110" s="90" t="str">
        <f>IF(R110&gt;0,R110/(C110*(1-Podsumowanie!E$11))," ")</f>
        <v xml:space="preserve"> </v>
      </c>
      <c r="X110" s="90">
        <f t="shared" si="94"/>
        <v>0</v>
      </c>
      <c r="Y110" s="91">
        <f t="shared" si="112"/>
        <v>-183.36439024768922</v>
      </c>
      <c r="Z110" s="90">
        <f>IF(P110-SUM(AB$5:AB110)+1&gt;0,IF(Podsumowanie!E$7&lt;B110,IF(SUM(AB$5:AB110)-Podsumowanie!E$9+1&gt;0,PMT(M110/12,P110+1-SUM(AB$5:AB110),N110),Y110),0),0)</f>
        <v>-618.9620602796978</v>
      </c>
      <c r="AA110" s="90">
        <f t="shared" si="80"/>
        <v>-435.5976700320085</v>
      </c>
      <c r="AB110" s="8">
        <f>IF(AND(Podsumowanie!E$7&lt;B110,SUM(AB$5:AB109)&lt;P109),1," ")</f>
        <v>1</v>
      </c>
      <c r="AD110" s="51">
        <f>IF(OR(B110&lt;Podsumowanie!E$12,Podsumowanie!E$12=""),-F110+S110,0)</f>
        <v>1871.6632810662109</v>
      </c>
      <c r="AE110" s="51">
        <f t="shared" si="95"/>
        <v>0</v>
      </c>
      <c r="AG110" s="10">
        <f>Podsumowanie!E$4-SUM(AI$5:AI109)+SUM(W$42:W110)-SUM(X$42:X110)</f>
        <v>162161.1781355522</v>
      </c>
      <c r="AH110" s="10">
        <f t="shared" si="120"/>
        <v>177.03</v>
      </c>
      <c r="AI110" s="10">
        <f t="shared" si="121"/>
        <v>505.18</v>
      </c>
      <c r="AJ110" s="10">
        <f t="shared" si="134"/>
        <v>682.21</v>
      </c>
      <c r="AK110" s="10">
        <f t="shared" si="114"/>
        <v>2062.92</v>
      </c>
      <c r="AL110" s="10">
        <f>Podsumowanie!E$2-SUM(AN$5:AN109)+SUM(R$42:R110)-SUM(S$42:S110)</f>
        <v>357660.02</v>
      </c>
      <c r="AM110" s="10">
        <f t="shared" si="122"/>
        <v>390.45</v>
      </c>
      <c r="AN110" s="10">
        <f t="shared" si="123"/>
        <v>1114.21</v>
      </c>
      <c r="AO110" s="10">
        <f t="shared" si="124"/>
        <v>1504.66</v>
      </c>
      <c r="AP110" s="10">
        <f t="shared" si="125"/>
        <v>558.26</v>
      </c>
      <c r="AR110" s="43">
        <f t="shared" si="115"/>
        <v>40452</v>
      </c>
      <c r="AS110" s="11">
        <f>AS$5+SUM(AV$5:AV109)-SUM(X$5:X110)+SUM(W$5:W110)</f>
        <v>162928.35896817571</v>
      </c>
      <c r="AT110" s="10">
        <f t="shared" si="126"/>
        <v>-177.8634585402585</v>
      </c>
      <c r="AU110" s="10">
        <f>IF(AB110=1,IF(Q110="tak",AT110,PMT(M110/12,P110+1-SUM(AB$5:AB110),AS110)),0)</f>
        <v>-600.3931984713067</v>
      </c>
      <c r="AV110" s="10">
        <f t="shared" si="127"/>
        <v>-422.5297399310482</v>
      </c>
      <c r="AW110" s="10">
        <f t="shared" si="128"/>
        <v>-1762.6343520720623</v>
      </c>
      <c r="AY110" s="11">
        <f>AY$5+SUM(BA$5:BA109)+SUM(W$5:W109)-SUM(X$5:X109)</f>
        <v>157296.20719148562</v>
      </c>
      <c r="AZ110" s="11">
        <f t="shared" si="129"/>
        <v>-177.8634585402585</v>
      </c>
      <c r="BA110" s="11">
        <f t="shared" si="130"/>
        <v>-490.02</v>
      </c>
      <c r="BB110" s="11">
        <f t="shared" si="131"/>
        <v>-667.8834585402585</v>
      </c>
      <c r="BC110" s="11">
        <f t="shared" si="116"/>
        <v>-1960.772257582491</v>
      </c>
      <c r="BE110" s="172">
        <f t="shared" si="87"/>
        <v>0.0383</v>
      </c>
      <c r="BF110" s="44">
        <f>BE110+Podsumowanie!$E$6</f>
        <v>0.0503</v>
      </c>
      <c r="BG110" s="11">
        <f>BG$5+SUM(BH$5:BH109)+SUM(R$5:R109)-SUM(S$5:S109)</f>
        <v>383757.7001722408</v>
      </c>
      <c r="BH110" s="10">
        <f t="shared" si="81"/>
        <v>-565.3141676423445</v>
      </c>
      <c r="BI110" s="10">
        <f t="shared" si="132"/>
        <v>-1608.5843598886424</v>
      </c>
      <c r="BJ110" s="10">
        <f>IF(U110&lt;0,PMT(BF110/12,Podsumowanie!E$8-SUM(AB$5:AB110)+1,BG110),0)</f>
        <v>-2173.898527530987</v>
      </c>
      <c r="BL110" s="11">
        <f>BL$5+SUM(BN$5:BN109)+SUM(R$5:R109)-SUM(S$5:S109)</f>
        <v>357660.1671309192</v>
      </c>
      <c r="BM110" s="11">
        <f t="shared" si="88"/>
        <v>-1499.192200557103</v>
      </c>
      <c r="BN110" s="11">
        <f t="shared" si="89"/>
        <v>-1114.2061281337046</v>
      </c>
      <c r="BO110" s="11">
        <f t="shared" si="90"/>
        <v>-2613.398328690808</v>
      </c>
      <c r="BQ110" s="44">
        <f t="shared" si="91"/>
        <v>0.0504</v>
      </c>
      <c r="BR110" s="11">
        <f>BR$5+SUM(BS$5:BS109)+SUM(R$5:R109)-SUM(S$5:S109)+SUM(BV$5:BV109)</f>
        <v>407275.20811771485</v>
      </c>
      <c r="BS110" s="10">
        <f t="shared" si="101"/>
        <v>-598.9846641708282</v>
      </c>
      <c r="BT110" s="10">
        <f t="shared" si="102"/>
        <v>-1710.5558740944025</v>
      </c>
      <c r="BU110" s="10">
        <f>IF(U110&lt;0,PMT(BQ110/12,Podsumowanie!E$8-SUM(AB$5:AB110)+1,BR110),0)</f>
        <v>-2309.5405382652307</v>
      </c>
      <c r="BV110" s="10">
        <f t="shared" si="96"/>
        <v>437.8772571990198</v>
      </c>
      <c r="BX110" s="11">
        <f>BX$5+SUM(BZ$5:BZ109)+SUM(R$5:R109)-SUM(S$5:S109)+SUM(CB$5,CB109)</f>
        <v>358235.04667675146</v>
      </c>
      <c r="BY110" s="10">
        <f t="shared" si="92"/>
        <v>-1504.5871960423563</v>
      </c>
      <c r="BZ110" s="10">
        <f t="shared" si="93"/>
        <v>-1115.997030145643</v>
      </c>
      <c r="CA110" s="10">
        <f t="shared" si="103"/>
        <v>-2620.5842261879993</v>
      </c>
      <c r="CB110" s="10">
        <f t="shared" si="104"/>
        <v>748.9209451217885</v>
      </c>
      <c r="CD110" s="10">
        <f>CD$5+SUM(CE$5:CE109)+SUM(R$5:R109)-SUM(S$5:S109)-SUM(CF$5:CF109)</f>
        <v>402671.4185350281</v>
      </c>
      <c r="CE110" s="10">
        <f t="shared" si="97"/>
        <v>1504.5871960423563</v>
      </c>
      <c r="CF110" s="10">
        <f t="shared" si="98"/>
        <v>1871.6632810662109</v>
      </c>
      <c r="CG110" s="10">
        <f t="shared" si="99"/>
        <v>367.0760850238546</v>
      </c>
      <c r="CI110" s="44">
        <v>0.5934</v>
      </c>
      <c r="CJ110" s="10">
        <f t="shared" si="100"/>
        <v>-1110.64</v>
      </c>
      <c r="CK110" s="4">
        <f t="shared" si="105"/>
        <v>0</v>
      </c>
      <c r="CM110" s="10">
        <f t="shared" si="106"/>
        <v>-74684.43776379504</v>
      </c>
      <c r="CN110" s="4">
        <f t="shared" si="107"/>
        <v>-238.36783052944585</v>
      </c>
    </row>
    <row r="111" spans="1:92" ht="15.75">
      <c r="A111" s="36"/>
      <c r="B111" s="37">
        <v>40483</v>
      </c>
      <c r="C111" s="77">
        <f t="shared" si="85"/>
        <v>2.9432</v>
      </c>
      <c r="D111" s="78">
        <f>C111*(1+Podsumowanie!E$11)</f>
        <v>3.031496</v>
      </c>
      <c r="E111" s="34">
        <f t="shared" si="117"/>
        <v>-618.9620602796979</v>
      </c>
      <c r="F111" s="7">
        <f t="shared" si="82"/>
        <v>-1876.3810098896631</v>
      </c>
      <c r="G111" s="7">
        <f t="shared" si="118"/>
        <v>-1365.1740546840572</v>
      </c>
      <c r="H111" s="7">
        <f t="shared" si="83"/>
        <v>511.20695520560594</v>
      </c>
      <c r="I111" s="32"/>
      <c r="J111" s="4" t="str">
        <f t="shared" si="113"/>
        <v xml:space="preserve"> </v>
      </c>
      <c r="K111" s="4">
        <f>IF(B111&lt;Podsumowanie!E$7,0,K110+1)</f>
        <v>41</v>
      </c>
      <c r="L111" s="100">
        <f t="shared" si="86"/>
        <v>0.0011</v>
      </c>
      <c r="M111" s="38">
        <f>L111+Podsumowanie!E$6</f>
        <v>0.0131</v>
      </c>
      <c r="N111" s="101">
        <f>MAX(Podsumowanie!E$4+SUM(AA$5:AA110)-SUM(X$5:X111)+SUM(W$5:W111),0)</f>
        <v>167531.7827095306</v>
      </c>
      <c r="O111" s="102">
        <f>MAX(Podsumowanie!E$2+SUM(V$5:V110)-SUM(S$5:S111)+SUM(R$5:R111),0)</f>
        <v>369505.7544991827</v>
      </c>
      <c r="P111" s="39">
        <f t="shared" si="133"/>
        <v>360</v>
      </c>
      <c r="Q111" s="40" t="str">
        <f>IF(AND(K111&gt;0,K111&lt;=Podsumowanie!E$9),"tak","nie")</f>
        <v>nie</v>
      </c>
      <c r="R111" s="41"/>
      <c r="S111" s="42"/>
      <c r="T111" s="88">
        <f t="shared" si="119"/>
        <v>-403.37711532827444</v>
      </c>
      <c r="U111" s="89">
        <f>IF(Q111="tak",T111,IF(P111-SUM(AB$5:AB111)+1&gt;0,IF(Podsumowanie!E$7&lt;B111,IF(SUM(AB$5:AB111)-Podsumowanie!E$9+1&gt;0,PMT(M111/12,P111+1-SUM(AB$5:AB111),O111),T111),0),0))</f>
        <v>-1365.1740546840572</v>
      </c>
      <c r="V111" s="89">
        <f t="shared" si="84"/>
        <v>-961.7969393557828</v>
      </c>
      <c r="W111" s="90" t="str">
        <f>IF(R111&gt;0,R111/(C111*(1-Podsumowanie!E$11))," ")</f>
        <v xml:space="preserve"> </v>
      </c>
      <c r="X111" s="90">
        <f t="shared" si="94"/>
        <v>0</v>
      </c>
      <c r="Y111" s="91">
        <f t="shared" si="112"/>
        <v>-182.88886279123759</v>
      </c>
      <c r="Z111" s="90">
        <f>IF(P111-SUM(AB$5:AB111)+1&gt;0,IF(Podsumowanie!E$7&lt;B111,IF(SUM(AB$5:AB111)-Podsumowanie!E$9+1&gt;0,PMT(M111/12,P111+1-SUM(AB$5:AB111),N111),Y111),0),0)</f>
        <v>-618.9620602796979</v>
      </c>
      <c r="AA111" s="90">
        <f t="shared" si="80"/>
        <v>-436.0731974884603</v>
      </c>
      <c r="AB111" s="8">
        <f>IF(AND(Podsumowanie!E$7&lt;B111,SUM(AB$5:AB110)&lt;P110),1," ")</f>
        <v>1</v>
      </c>
      <c r="AD111" s="51">
        <f>IF(OR(B111&lt;Podsumowanie!E$12,Podsumowanie!E$12=""),-F111+S111,0)</f>
        <v>1876.3810098896631</v>
      </c>
      <c r="AE111" s="51">
        <f t="shared" si="95"/>
        <v>0</v>
      </c>
      <c r="AG111" s="10">
        <f>Podsumowanie!E$4-SUM(AI$5:AI110)+SUM(W$42:W111)-SUM(X$42:X111)</f>
        <v>161655.99813555222</v>
      </c>
      <c r="AH111" s="10">
        <f t="shared" si="120"/>
        <v>176.47</v>
      </c>
      <c r="AI111" s="10">
        <f t="shared" si="121"/>
        <v>505.17</v>
      </c>
      <c r="AJ111" s="10">
        <f t="shared" si="134"/>
        <v>681.64</v>
      </c>
      <c r="AK111" s="10">
        <f t="shared" si="114"/>
        <v>2066.39</v>
      </c>
      <c r="AL111" s="10">
        <f>Podsumowanie!E$2-SUM(AN$5:AN110)+SUM(R$42:R111)-SUM(S$42:S111)</f>
        <v>356545.81000000006</v>
      </c>
      <c r="AM111" s="10">
        <f t="shared" si="122"/>
        <v>389.23</v>
      </c>
      <c r="AN111" s="10">
        <f t="shared" si="123"/>
        <v>1114.21</v>
      </c>
      <c r="AO111" s="10">
        <f t="shared" si="124"/>
        <v>1503.44</v>
      </c>
      <c r="AP111" s="10">
        <f t="shared" si="125"/>
        <v>562.9499999999998</v>
      </c>
      <c r="AR111" s="43">
        <f t="shared" si="115"/>
        <v>40483</v>
      </c>
      <c r="AS111" s="11">
        <f>AS$5+SUM(AV$5:AV110)-SUM(X$5:X111)+SUM(W$5:W111)</f>
        <v>162505.82922824466</v>
      </c>
      <c r="AT111" s="10">
        <f t="shared" si="126"/>
        <v>-177.40219690750044</v>
      </c>
      <c r="AU111" s="10">
        <f>IF(AB111=1,IF(Q111="tak",AT111,PMT(M111/12,P111+1-SUM(AB$5:AB111),AS111)),0)</f>
        <v>-600.3931984713067</v>
      </c>
      <c r="AV111" s="10">
        <f t="shared" si="127"/>
        <v>-422.9910015638063</v>
      </c>
      <c r="AW111" s="10">
        <f t="shared" si="128"/>
        <v>-1767.07726174075</v>
      </c>
      <c r="AY111" s="11">
        <f>AY$5+SUM(BA$5:BA110)+SUM(W$5:W110)-SUM(X$5:X110)</f>
        <v>156806.1871914856</v>
      </c>
      <c r="AZ111" s="11">
        <f t="shared" si="129"/>
        <v>-177.40219690750044</v>
      </c>
      <c r="BA111" s="11">
        <f t="shared" si="130"/>
        <v>-490.02</v>
      </c>
      <c r="BB111" s="11">
        <f t="shared" si="131"/>
        <v>-667.4221969075004</v>
      </c>
      <c r="BC111" s="11">
        <f t="shared" si="116"/>
        <v>-1964.3570099381552</v>
      </c>
      <c r="BE111" s="172">
        <f t="shared" si="87"/>
        <v>0.0386</v>
      </c>
      <c r="BF111" s="44">
        <f>BE111+Podsumowanie!$E$6</f>
        <v>0.050600000000000006</v>
      </c>
      <c r="BG111" s="11">
        <f>BG$5+SUM(BH$5:BH110)+SUM(R$5:R110)-SUM(S$5:S110)</f>
        <v>383192.38600459846</v>
      </c>
      <c r="BH111" s="10">
        <f t="shared" si="81"/>
        <v>-564.9348614025025</v>
      </c>
      <c r="BI111" s="10">
        <f t="shared" si="132"/>
        <v>-1615.7945609860571</v>
      </c>
      <c r="BJ111" s="10">
        <f>IF(U111&lt;0,PMT(BF111/12,Podsumowanie!E$8-SUM(AB$5:AB111)+1,BG111),0)</f>
        <v>-2180.7294223885597</v>
      </c>
      <c r="BL111" s="11">
        <f>BL$5+SUM(BN$5:BN110)+SUM(R$5:R110)-SUM(S$5:S110)</f>
        <v>356545.9610027855</v>
      </c>
      <c r="BM111" s="11">
        <f t="shared" si="88"/>
        <v>-1503.4354688950789</v>
      </c>
      <c r="BN111" s="11">
        <f t="shared" si="89"/>
        <v>-1114.2061281337046</v>
      </c>
      <c r="BO111" s="11">
        <f t="shared" si="90"/>
        <v>-2617.6415970287835</v>
      </c>
      <c r="BQ111" s="44">
        <f t="shared" si="91"/>
        <v>0.0507</v>
      </c>
      <c r="BR111" s="11">
        <f>BR$5+SUM(BS$5:BS110)+SUM(R$5:R110)-SUM(S$5:S110)+SUM(BV$5:BV110)</f>
        <v>407114.100710743</v>
      </c>
      <c r="BS111" s="10">
        <f t="shared" si="101"/>
        <v>-599.231297360383</v>
      </c>
      <c r="BT111" s="10">
        <f t="shared" si="102"/>
        <v>-1720.0570755028893</v>
      </c>
      <c r="BU111" s="10">
        <f>IF(U111&lt;0,PMT(BQ111/12,Podsumowanie!E$8-SUM(AB$5:AB111)+1,BR111),0)</f>
        <v>-2319.2883728632723</v>
      </c>
      <c r="BV111" s="10">
        <f t="shared" si="96"/>
        <v>442.9073629736092</v>
      </c>
      <c r="BX111" s="11">
        <f>BX$5+SUM(BZ$5:BZ110)+SUM(R$5:R110)-SUM(S$5:S110)+SUM(CB$5,CB110)</f>
        <v>357170.55132154934</v>
      </c>
      <c r="BY111" s="10">
        <f t="shared" si="92"/>
        <v>-1509.045579333546</v>
      </c>
      <c r="BZ111" s="10">
        <f t="shared" si="93"/>
        <v>-1116.1579728798417</v>
      </c>
      <c r="CA111" s="10">
        <f t="shared" si="103"/>
        <v>-2625.2035522133874</v>
      </c>
      <c r="CB111" s="10">
        <f t="shared" si="104"/>
        <v>748.8225423237243</v>
      </c>
      <c r="CD111" s="10">
        <f>CD$5+SUM(CE$5:CE110)+SUM(R$5:R110)-SUM(S$5:S110)-SUM(CF$5:CF110)</f>
        <v>402304.34245000425</v>
      </c>
      <c r="CE111" s="10">
        <f t="shared" si="97"/>
        <v>1509.045579333546</v>
      </c>
      <c r="CF111" s="10">
        <f t="shared" si="98"/>
        <v>1876.3810098896631</v>
      </c>
      <c r="CG111" s="10">
        <f t="shared" si="99"/>
        <v>367.3354305561172</v>
      </c>
      <c r="CI111" s="44">
        <v>0.5854</v>
      </c>
      <c r="CJ111" s="10">
        <f t="shared" si="100"/>
        <v>-1098.43</v>
      </c>
      <c r="CK111" s="4">
        <f t="shared" si="105"/>
        <v>0</v>
      </c>
      <c r="CM111" s="10">
        <f t="shared" si="106"/>
        <v>-76560.8187736847</v>
      </c>
      <c r="CN111" s="4">
        <f t="shared" si="107"/>
        <v>-246.27063372201914</v>
      </c>
    </row>
    <row r="112" spans="1:92" ht="15.75">
      <c r="A112" s="36"/>
      <c r="B112" s="37">
        <v>40513</v>
      </c>
      <c r="C112" s="77">
        <f t="shared" si="85"/>
        <v>3.1155</v>
      </c>
      <c r="D112" s="78">
        <f>C112*(1+Podsumowanie!E$11)</f>
        <v>3.208965</v>
      </c>
      <c r="E112" s="34">
        <f t="shared" si="117"/>
        <v>-618.9620602796978</v>
      </c>
      <c r="F112" s="7">
        <f t="shared" si="82"/>
        <v>-1986.2275877654404</v>
      </c>
      <c r="G112" s="7">
        <f t="shared" si="118"/>
        <v>-1365.1740546840574</v>
      </c>
      <c r="H112" s="7">
        <f t="shared" si="83"/>
        <v>621.053533081383</v>
      </c>
      <c r="I112" s="32"/>
      <c r="J112" s="4" t="str">
        <f t="shared" si="113"/>
        <v xml:space="preserve"> </v>
      </c>
      <c r="K112" s="4">
        <f>IF(B112&lt;Podsumowanie!E$7,0,K111+1)</f>
        <v>42</v>
      </c>
      <c r="L112" s="100">
        <f t="shared" si="86"/>
        <v>0.0011</v>
      </c>
      <c r="M112" s="38">
        <f>L112+Podsumowanie!E$6</f>
        <v>0.0131</v>
      </c>
      <c r="N112" s="101">
        <f>MAX(Podsumowanie!E$4+SUM(AA$5:AA111)-SUM(X$5:X112)+SUM(W$5:W112),0)</f>
        <v>167095.70951204214</v>
      </c>
      <c r="O112" s="102">
        <f>MAX(Podsumowanie!E$2+SUM(V$5:V111)-SUM(S$5:S112)+SUM(R$5:R112),0)</f>
        <v>368543.95755982696</v>
      </c>
      <c r="P112" s="39">
        <f t="shared" si="133"/>
        <v>360</v>
      </c>
      <c r="Q112" s="40" t="str">
        <f>IF(AND(K112&gt;0,K112&lt;=Podsumowanie!E$9),"tak","nie")</f>
        <v>nie</v>
      </c>
      <c r="R112" s="41"/>
      <c r="S112" s="42"/>
      <c r="T112" s="88">
        <f t="shared" si="119"/>
        <v>-402.3271536694778</v>
      </c>
      <c r="U112" s="89">
        <f>IF(Q112="tak",T112,IF(P112-SUM(AB$5:AB112)+1&gt;0,IF(Podsumowanie!E$7&lt;B112,IF(SUM(AB$5:AB112)-Podsumowanie!E$9+1&gt;0,PMT(M112/12,P112+1-SUM(AB$5:AB112),O112),T112),0),0))</f>
        <v>-1365.1740546840574</v>
      </c>
      <c r="V112" s="89">
        <f t="shared" si="84"/>
        <v>-962.8469010145795</v>
      </c>
      <c r="W112" s="90" t="str">
        <f>IF(R112&gt;0,R112/(C112*(1-Podsumowanie!E$11))," ")</f>
        <v xml:space="preserve"> </v>
      </c>
      <c r="X112" s="90">
        <f t="shared" si="94"/>
        <v>0</v>
      </c>
      <c r="Y112" s="91">
        <f t="shared" si="112"/>
        <v>-182.41281621731267</v>
      </c>
      <c r="Z112" s="90">
        <f>IF(P112-SUM(AB$5:AB112)+1&gt;0,IF(Podsumowanie!E$7&lt;B112,IF(SUM(AB$5:AB112)-Podsumowanie!E$9+1&gt;0,PMT(M112/12,P112+1-SUM(AB$5:AB112),N112),Y112),0),0)</f>
        <v>-618.9620602796978</v>
      </c>
      <c r="AA112" s="90">
        <f t="shared" si="80"/>
        <v>-436.5492440623851</v>
      </c>
      <c r="AB112" s="8">
        <f>IF(AND(Podsumowanie!E$7&lt;B112,SUM(AB$5:AB111)&lt;P111),1," ")</f>
        <v>1</v>
      </c>
      <c r="AD112" s="51">
        <f>IF(OR(B112&lt;Podsumowanie!E$12,Podsumowanie!E$12=""),-F112+S112,0)</f>
        <v>1986.2275877654404</v>
      </c>
      <c r="AE112" s="51">
        <f t="shared" si="95"/>
        <v>0</v>
      </c>
      <c r="AG112" s="10">
        <f>Podsumowanie!E$4-SUM(AI$5:AI111)+SUM(W$42:W112)-SUM(X$42:X112)</f>
        <v>161150.8281355522</v>
      </c>
      <c r="AH112" s="10">
        <f t="shared" si="120"/>
        <v>175.92</v>
      </c>
      <c r="AI112" s="10">
        <f t="shared" si="121"/>
        <v>505.18</v>
      </c>
      <c r="AJ112" s="10">
        <f t="shared" si="134"/>
        <v>681.1</v>
      </c>
      <c r="AK112" s="10">
        <f t="shared" si="114"/>
        <v>2185.63</v>
      </c>
      <c r="AL112" s="10">
        <f>Podsumowanie!E$2-SUM(AN$5:AN111)+SUM(R$42:R112)-SUM(S$42:S112)</f>
        <v>355431.60000000003</v>
      </c>
      <c r="AM112" s="10">
        <f t="shared" si="122"/>
        <v>388.01</v>
      </c>
      <c r="AN112" s="10">
        <f t="shared" si="123"/>
        <v>1114.21</v>
      </c>
      <c r="AO112" s="10">
        <f t="shared" si="124"/>
        <v>1502.22</v>
      </c>
      <c r="AP112" s="10">
        <f t="shared" si="125"/>
        <v>683.4100000000001</v>
      </c>
      <c r="AR112" s="43">
        <f t="shared" si="115"/>
        <v>40513</v>
      </c>
      <c r="AS112" s="11">
        <f>AS$5+SUM(AV$5:AV111)-SUM(X$5:X112)+SUM(W$5:W112)</f>
        <v>162082.83822668088</v>
      </c>
      <c r="AT112" s="10">
        <f t="shared" si="126"/>
        <v>-176.9404317307933</v>
      </c>
      <c r="AU112" s="10">
        <f>IF(AB112=1,IF(Q112="tak",AT112,PMT(M112/12,P112+1-SUM(AB$5:AB112),AS112)),0)</f>
        <v>-600.3931984713067</v>
      </c>
      <c r="AV112" s="10">
        <f t="shared" si="127"/>
        <v>-423.4527667405134</v>
      </c>
      <c r="AW112" s="10">
        <f t="shared" si="128"/>
        <v>-1870.525009837356</v>
      </c>
      <c r="AY112" s="11">
        <f>AY$5+SUM(BA$5:BA111)+SUM(W$5:W111)-SUM(X$5:X111)</f>
        <v>156316.1671914856</v>
      </c>
      <c r="AZ112" s="11">
        <f t="shared" si="129"/>
        <v>-176.9404317307933</v>
      </c>
      <c r="BA112" s="11">
        <f t="shared" si="130"/>
        <v>-490.02</v>
      </c>
      <c r="BB112" s="11">
        <f aca="true" t="shared" si="135" ref="BB112:BB175">BA112+AZ112</f>
        <v>-666.9604317307933</v>
      </c>
      <c r="BC112" s="11">
        <f t="shared" si="116"/>
        <v>-2077.9152250572865</v>
      </c>
      <c r="BE112" s="172">
        <f t="shared" si="87"/>
        <v>0.0392</v>
      </c>
      <c r="BF112" s="44">
        <f>BE112+Podsumowanie!$E$6</f>
        <v>0.051199999999999996</v>
      </c>
      <c r="BG112" s="11">
        <f>BG$5+SUM(BH$5:BH111)+SUM(R$5:R111)-SUM(S$5:S111)</f>
        <v>382627.45114319597</v>
      </c>
      <c r="BH112" s="10">
        <f t="shared" si="81"/>
        <v>-561.8479754214636</v>
      </c>
      <c r="BI112" s="10">
        <f t="shared" si="132"/>
        <v>-1632.5437915443026</v>
      </c>
      <c r="BJ112" s="10">
        <f>IF(U112&lt;0,PMT(BF112/12,Podsumowanie!E$8-SUM(AB$5:AB112)+1,BG112),0)</f>
        <v>-2194.3917669657662</v>
      </c>
      <c r="BL112" s="11">
        <f>BL$5+SUM(BN$5:BN111)+SUM(R$5:R111)-SUM(S$5:S111)</f>
        <v>355431.7548746518</v>
      </c>
      <c r="BM112" s="11">
        <f t="shared" si="88"/>
        <v>-1516.5088207985143</v>
      </c>
      <c r="BN112" s="11">
        <f t="shared" si="89"/>
        <v>-1114.2061281337046</v>
      </c>
      <c r="BO112" s="11">
        <f t="shared" si="90"/>
        <v>-2630.714948932219</v>
      </c>
      <c r="BQ112" s="44">
        <f t="shared" si="91"/>
        <v>0.0513</v>
      </c>
      <c r="BR112" s="11">
        <f>BR$5+SUM(BS$5:BS111)+SUM(R$5:R111)-SUM(S$5:S111)+SUM(BV$5:BV111)</f>
        <v>406957.7767763562</v>
      </c>
      <c r="BS112" s="10">
        <f t="shared" si="101"/>
        <v>-596.6093951652269</v>
      </c>
      <c r="BT112" s="10">
        <f t="shared" si="102"/>
        <v>-1739.7444957189227</v>
      </c>
      <c r="BU112" s="10">
        <f>IF(U112&lt;0,PMT(BQ112/12,Podsumowanie!E$8-SUM(AB$5:AB112)+1,BR112),0)</f>
        <v>-2336.3538908841497</v>
      </c>
      <c r="BV112" s="10">
        <f t="shared" si="96"/>
        <v>350.1263031187093</v>
      </c>
      <c r="BX112" s="11">
        <f>BX$5+SUM(BZ$5:BZ111)+SUM(R$5:R111)-SUM(S$5:S111)+SUM(CB$5,CB111)</f>
        <v>356054.29494587146</v>
      </c>
      <c r="BY112" s="10">
        <f t="shared" si="92"/>
        <v>-1522.1321108936006</v>
      </c>
      <c r="BZ112" s="10">
        <f t="shared" si="93"/>
        <v>-1116.1576644071206</v>
      </c>
      <c r="CA112" s="10">
        <f t="shared" si="103"/>
        <v>-2638.289775300721</v>
      </c>
      <c r="CB112" s="10">
        <f t="shared" si="104"/>
        <v>652.0621875352806</v>
      </c>
      <c r="CD112" s="10">
        <f>CD$5+SUM(CE$5:CE111)+SUM(R$5:R111)-SUM(S$5:S111)-SUM(CF$5:CF111)</f>
        <v>401937.0070194481</v>
      </c>
      <c r="CE112" s="10">
        <f t="shared" si="97"/>
        <v>1522.1321108936006</v>
      </c>
      <c r="CF112" s="10">
        <f t="shared" si="98"/>
        <v>1986.2275877654404</v>
      </c>
      <c r="CG112" s="10">
        <f t="shared" si="99"/>
        <v>464.09547687183976</v>
      </c>
      <c r="CI112" s="44">
        <v>0.5838</v>
      </c>
      <c r="CJ112" s="10">
        <f t="shared" si="100"/>
        <v>-1159.56</v>
      </c>
      <c r="CK112" s="4">
        <f t="shared" si="105"/>
        <v>0</v>
      </c>
      <c r="CM112" s="10">
        <f t="shared" si="106"/>
        <v>-78547.04636145015</v>
      </c>
      <c r="CN112" s="4">
        <f t="shared" si="107"/>
        <v>-256.5870181140705</v>
      </c>
    </row>
    <row r="113" spans="1:92" ht="15.75">
      <c r="A113" s="36">
        <v>2011</v>
      </c>
      <c r="B113" s="37">
        <v>40544</v>
      </c>
      <c r="C113" s="77">
        <f t="shared" si="85"/>
        <v>3.0503</v>
      </c>
      <c r="D113" s="78">
        <f>C113*(1+Podsumowanie!E$11)</f>
        <v>3.1418090000000003</v>
      </c>
      <c r="E113" s="34">
        <f t="shared" si="117"/>
        <v>-618.9620602796977</v>
      </c>
      <c r="F113" s="7">
        <f t="shared" si="82"/>
        <v>-1944.6605716452968</v>
      </c>
      <c r="G113" s="7">
        <f t="shared" si="118"/>
        <v>-1365.1740546840572</v>
      </c>
      <c r="H113" s="7">
        <f t="shared" si="83"/>
        <v>579.4865169612397</v>
      </c>
      <c r="I113" s="32"/>
      <c r="J113" s="4" t="str">
        <f t="shared" si="113"/>
        <v xml:space="preserve"> </v>
      </c>
      <c r="K113" s="4">
        <f>IF(B113&lt;Podsumowanie!E$7,0,K112+1)</f>
        <v>43</v>
      </c>
      <c r="L113" s="100">
        <f t="shared" si="86"/>
        <v>0.0011</v>
      </c>
      <c r="M113" s="38">
        <f>L113+Podsumowanie!E$6</f>
        <v>0.0131</v>
      </c>
      <c r="N113" s="101">
        <f>MAX(Podsumowanie!E$4+SUM(AA$5:AA112)-SUM(X$5:X113)+SUM(W$5:W113),0)</f>
        <v>166659.16026797975</v>
      </c>
      <c r="O113" s="102">
        <f>MAX(Podsumowanie!E$2+SUM(V$5:V112)-SUM(S$5:S113)+SUM(R$5:R113),0)</f>
        <v>367581.11065881234</v>
      </c>
      <c r="P113" s="39">
        <f t="shared" si="133"/>
        <v>360</v>
      </c>
      <c r="Q113" s="40" t="str">
        <f>IF(AND(K113&gt;0,K113&lt;=Podsumowanie!E$9),"tak","nie")</f>
        <v>nie</v>
      </c>
      <c r="R113" s="41"/>
      <c r="S113" s="42"/>
      <c r="T113" s="88">
        <f t="shared" si="119"/>
        <v>-401.2760458025368</v>
      </c>
      <c r="U113" s="89">
        <f>IF(Q113="tak",T113,IF(P113-SUM(AB$5:AB113)+1&gt;0,IF(Podsumowanie!E$7&lt;B113,IF(SUM(AB$5:AB113)-Podsumowanie!E$9+1&gt;0,PMT(M113/12,P113+1-SUM(AB$5:AB113),O113),T113),0),0))</f>
        <v>-1365.1740546840572</v>
      </c>
      <c r="V113" s="89">
        <f t="shared" si="84"/>
        <v>-963.8980088815204</v>
      </c>
      <c r="W113" s="90" t="str">
        <f>IF(R113&gt;0,R113/(C113*(1-Podsumowanie!E$11))," ")</f>
        <v xml:space="preserve"> </v>
      </c>
      <c r="X113" s="90">
        <f t="shared" si="94"/>
        <v>0</v>
      </c>
      <c r="Y113" s="91">
        <f t="shared" si="112"/>
        <v>-181.9362499592112</v>
      </c>
      <c r="Z113" s="90">
        <f>IF(P113-SUM(AB$5:AB113)+1&gt;0,IF(Podsumowanie!E$7&lt;B113,IF(SUM(AB$5:AB113)-Podsumowanie!E$9+1&gt;0,PMT(M113/12,P113+1-SUM(AB$5:AB113),N113),Y113),0),0)</f>
        <v>-618.9620602796977</v>
      </c>
      <c r="AA113" s="90">
        <f t="shared" si="80"/>
        <v>-437.02581032048647</v>
      </c>
      <c r="AB113" s="8">
        <f>IF(AND(Podsumowanie!E$7&lt;B113,SUM(AB$5:AB112)&lt;P112),1," ")</f>
        <v>1</v>
      </c>
      <c r="AD113" s="51">
        <f>IF(OR(B113&lt;Podsumowanie!E$12,Podsumowanie!E$12=""),-F113+S113,0)</f>
        <v>1944.6605716452968</v>
      </c>
      <c r="AE113" s="51">
        <f t="shared" si="95"/>
        <v>0</v>
      </c>
      <c r="AG113" s="10">
        <f>Podsumowanie!E$4-SUM(AI$5:AI112)+SUM(W$42:W113)-SUM(X$42:X113)</f>
        <v>160645.6481355522</v>
      </c>
      <c r="AH113" s="10">
        <f t="shared" si="120"/>
        <v>175.37</v>
      </c>
      <c r="AI113" s="10">
        <f t="shared" si="121"/>
        <v>505.17</v>
      </c>
      <c r="AJ113" s="10">
        <f t="shared" si="134"/>
        <v>680.54</v>
      </c>
      <c r="AK113" s="10">
        <f t="shared" si="114"/>
        <v>2138.13</v>
      </c>
      <c r="AL113" s="10">
        <f>Podsumowanie!E$2-SUM(AN$5:AN112)+SUM(R$42:R113)-SUM(S$42:S113)</f>
        <v>354317.39</v>
      </c>
      <c r="AM113" s="10">
        <f t="shared" si="122"/>
        <v>386.8</v>
      </c>
      <c r="AN113" s="10">
        <f t="shared" si="123"/>
        <v>1114.21</v>
      </c>
      <c r="AO113" s="10">
        <f t="shared" si="124"/>
        <v>1501.01</v>
      </c>
      <c r="AP113" s="10">
        <f t="shared" si="125"/>
        <v>637.1200000000001</v>
      </c>
      <c r="AR113" s="43">
        <f t="shared" si="115"/>
        <v>40544</v>
      </c>
      <c r="AS113" s="11">
        <f>AS$5+SUM(AV$5:AV112)-SUM(X$5:X113)+SUM(W$5:W113)</f>
        <v>161659.38545994036</v>
      </c>
      <c r="AT113" s="10">
        <f t="shared" si="126"/>
        <v>-176.4781624604349</v>
      </c>
      <c r="AU113" s="10">
        <f>IF(AB113=1,IF(Q113="tak",AT113,PMT(M113/12,P113+1-SUM(AB$5:AB113),AS113)),0)</f>
        <v>-600.3931984713067</v>
      </c>
      <c r="AV113" s="10">
        <f t="shared" si="127"/>
        <v>-423.91503601087186</v>
      </c>
      <c r="AW113" s="10">
        <f t="shared" si="128"/>
        <v>-1831.3793732970269</v>
      </c>
      <c r="AY113" s="11">
        <f>AY$5+SUM(BA$5:BA112)+SUM(W$5:W112)-SUM(X$5:X112)</f>
        <v>155826.14719148562</v>
      </c>
      <c r="AZ113" s="11">
        <f t="shared" si="129"/>
        <v>-176.4781624604349</v>
      </c>
      <c r="BA113" s="11">
        <f t="shared" si="130"/>
        <v>-490.02</v>
      </c>
      <c r="BB113" s="11">
        <f t="shared" si="135"/>
        <v>-666.4981624604349</v>
      </c>
      <c r="BC113" s="11">
        <f t="shared" si="116"/>
        <v>-2033.0193449530645</v>
      </c>
      <c r="BE113" s="172">
        <f t="shared" si="87"/>
        <v>0.0401</v>
      </c>
      <c r="BF113" s="44">
        <f>BE113+Podsumowanie!$E$6</f>
        <v>0.052099999999999994</v>
      </c>
      <c r="BG113" s="11">
        <f>BG$5+SUM(BH$5:BH112)+SUM(R$5:R112)-SUM(S$5:S112)</f>
        <v>382065.6031677745</v>
      </c>
      <c r="BH113" s="10">
        <f t="shared" si="81"/>
        <v>-556.1158311318572</v>
      </c>
      <c r="BI113" s="10">
        <f t="shared" si="132"/>
        <v>-1658.8014937534208</v>
      </c>
      <c r="BJ113" s="10">
        <f>IF(U113&lt;0,PMT(BF113/12,Podsumowanie!E$8-SUM(AB$5:AB113)+1,BG113),0)</f>
        <v>-2214.917324885278</v>
      </c>
      <c r="BL113" s="11">
        <f>BL$5+SUM(BN$5:BN112)+SUM(R$5:R112)-SUM(S$5:S112)</f>
        <v>354317.5487465181</v>
      </c>
      <c r="BM113" s="11">
        <f t="shared" si="88"/>
        <v>-1538.3286908077991</v>
      </c>
      <c r="BN113" s="11">
        <f t="shared" si="89"/>
        <v>-1114.2061281337046</v>
      </c>
      <c r="BO113" s="11">
        <f t="shared" si="90"/>
        <v>-2652.5348189415035</v>
      </c>
      <c r="BQ113" s="44">
        <f t="shared" si="91"/>
        <v>0.052199999999999996</v>
      </c>
      <c r="BR113" s="11">
        <f>BR$5+SUM(BS$5:BS112)+SUM(R$5:R112)-SUM(S$5:S112)+SUM(BV$5:BV112)</f>
        <v>406711.2936843097</v>
      </c>
      <c r="BS113" s="10">
        <f t="shared" si="101"/>
        <v>-591.033548040067</v>
      </c>
      <c r="BT113" s="10">
        <f t="shared" si="102"/>
        <v>-1769.194127526747</v>
      </c>
      <c r="BU113" s="10">
        <f>IF(U113&lt;0,PMT(BQ113/12,Podsumowanie!E$8-SUM(AB$5:AB113)+1,BR113),0)</f>
        <v>-2360.227675566814</v>
      </c>
      <c r="BV113" s="10">
        <f t="shared" si="96"/>
        <v>415.5671039215172</v>
      </c>
      <c r="BX113" s="11">
        <f>BX$5+SUM(BZ$5:BZ112)+SUM(R$5:R112)-SUM(S$5:S112)+SUM(CB$5,CB112)</f>
        <v>354841.37692667585</v>
      </c>
      <c r="BY113" s="10">
        <f t="shared" si="92"/>
        <v>-1543.5599896310398</v>
      </c>
      <c r="BZ113" s="10">
        <f t="shared" si="93"/>
        <v>-1115.8533865618738</v>
      </c>
      <c r="CA113" s="10">
        <f t="shared" si="103"/>
        <v>-2659.4133761929133</v>
      </c>
      <c r="CB113" s="10">
        <f t="shared" si="104"/>
        <v>714.7528045476165</v>
      </c>
      <c r="CD113" s="10">
        <f>CD$5+SUM(CE$5:CE112)+SUM(R$5:R112)-SUM(S$5:S112)-SUM(CF$5:CF112)</f>
        <v>401472.9115425762</v>
      </c>
      <c r="CE113" s="10">
        <f t="shared" si="97"/>
        <v>1543.5599896310398</v>
      </c>
      <c r="CF113" s="10">
        <f t="shared" si="98"/>
        <v>1944.6605716452968</v>
      </c>
      <c r="CG113" s="10">
        <f t="shared" si="99"/>
        <v>401.10058201425704</v>
      </c>
      <c r="CI113" s="44">
        <v>0.5775</v>
      </c>
      <c r="CJ113" s="10">
        <f t="shared" si="100"/>
        <v>-1123.04</v>
      </c>
      <c r="CK113" s="4">
        <f t="shared" si="105"/>
        <v>0</v>
      </c>
      <c r="CM113" s="10">
        <f t="shared" si="106"/>
        <v>-80491.70693309544</v>
      </c>
      <c r="CN113" s="4">
        <f t="shared" si="107"/>
        <v>-268.97645400142727</v>
      </c>
    </row>
    <row r="114" spans="1:92" ht="15.75">
      <c r="A114" s="36"/>
      <c r="B114" s="37">
        <v>40575</v>
      </c>
      <c r="C114" s="77">
        <f t="shared" si="85"/>
        <v>3.0312</v>
      </c>
      <c r="D114" s="78">
        <f>C114*(1+Podsumowanie!E$11)</f>
        <v>3.1221360000000002</v>
      </c>
      <c r="E114" s="34">
        <f t="shared" si="117"/>
        <v>-618.9620602796978</v>
      </c>
      <c r="F114" s="7">
        <f t="shared" si="82"/>
        <v>-1932.4837310334146</v>
      </c>
      <c r="G114" s="7">
        <f t="shared" si="118"/>
        <v>-1365.1740546840574</v>
      </c>
      <c r="H114" s="7">
        <f t="shared" si="83"/>
        <v>567.3096763493572</v>
      </c>
      <c r="I114" s="32"/>
      <c r="J114" s="4" t="str">
        <f t="shared" si="113"/>
        <v xml:space="preserve"> </v>
      </c>
      <c r="K114" s="4">
        <f>IF(B114&lt;Podsumowanie!E$7,0,K113+1)</f>
        <v>44</v>
      </c>
      <c r="L114" s="100">
        <f t="shared" si="86"/>
        <v>0.0011</v>
      </c>
      <c r="M114" s="38">
        <f>L114+Podsumowanie!E$6</f>
        <v>0.0131</v>
      </c>
      <c r="N114" s="101">
        <f>MAX(Podsumowanie!E$4+SUM(AA$5:AA113)-SUM(X$5:X114)+SUM(W$5:W114),0)</f>
        <v>166222.13445765927</v>
      </c>
      <c r="O114" s="102">
        <f>MAX(Podsumowanie!E$2+SUM(V$5:V113)-SUM(S$5:S114)+SUM(R$5:R114),0)</f>
        <v>366617.21264993085</v>
      </c>
      <c r="P114" s="39">
        <f t="shared" si="133"/>
        <v>360</v>
      </c>
      <c r="Q114" s="40" t="str">
        <f>IF(AND(K114&gt;0,K114&lt;=Podsumowanie!E$9),"tak","nie")</f>
        <v>nie</v>
      </c>
      <c r="R114" s="41"/>
      <c r="S114" s="42"/>
      <c r="T114" s="88">
        <f t="shared" si="119"/>
        <v>-400.22379047617454</v>
      </c>
      <c r="U114" s="89">
        <f>IF(Q114="tak",T114,IF(P114-SUM(AB$5:AB114)+1&gt;0,IF(Podsumowanie!E$7&lt;B114,IF(SUM(AB$5:AB114)-Podsumowanie!E$9+1&gt;0,PMT(M114/12,P114+1-SUM(AB$5:AB114),O114),T114),0),0))</f>
        <v>-1365.1740546840574</v>
      </c>
      <c r="V114" s="89">
        <f t="shared" si="84"/>
        <v>-964.9502642078828</v>
      </c>
      <c r="W114" s="90" t="str">
        <f>IF(R114&gt;0,R114/(C114*(1-Podsumowanie!E$11))," ")</f>
        <v xml:space="preserve"> </v>
      </c>
      <c r="X114" s="90">
        <f t="shared" si="94"/>
        <v>0</v>
      </c>
      <c r="Y114" s="91">
        <f t="shared" si="112"/>
        <v>-181.4591634496114</v>
      </c>
      <c r="Z114" s="90">
        <f>IF(P114-SUM(AB$5:AB114)+1&gt;0,IF(Podsumowanie!E$7&lt;B114,IF(SUM(AB$5:AB114)-Podsumowanie!E$9+1&gt;0,PMT(M114/12,P114+1-SUM(AB$5:AB114),N114),Y114),0),0)</f>
        <v>-618.9620602796978</v>
      </c>
      <c r="AA114" s="90">
        <f t="shared" si="80"/>
        <v>-437.50289683008634</v>
      </c>
      <c r="AB114" s="8">
        <f>IF(AND(Podsumowanie!E$7&lt;B114,SUM(AB$5:AB113)&lt;P113),1," ")</f>
        <v>1</v>
      </c>
      <c r="AD114" s="51">
        <f>IF(OR(B114&lt;Podsumowanie!E$12,Podsumowanie!E$12=""),-F114+S114,0)</f>
        <v>1932.4837310334146</v>
      </c>
      <c r="AE114" s="51">
        <f t="shared" si="95"/>
        <v>0</v>
      </c>
      <c r="AG114" s="10">
        <f>Podsumowanie!E$4-SUM(AI$5:AI113)+SUM(W$42:W114)-SUM(X$42:X114)</f>
        <v>160140.4781355522</v>
      </c>
      <c r="AH114" s="10">
        <f t="shared" si="120"/>
        <v>174.82</v>
      </c>
      <c r="AI114" s="10">
        <f t="shared" si="121"/>
        <v>505.18</v>
      </c>
      <c r="AJ114" s="10">
        <f t="shared" si="134"/>
        <v>680</v>
      </c>
      <c r="AK114" s="10">
        <f t="shared" si="114"/>
        <v>2123.05</v>
      </c>
      <c r="AL114" s="10">
        <f>Podsumowanie!E$2-SUM(AN$5:AN113)+SUM(R$42:R114)-SUM(S$42:S114)</f>
        <v>353203.18000000005</v>
      </c>
      <c r="AM114" s="10">
        <f t="shared" si="122"/>
        <v>385.58</v>
      </c>
      <c r="AN114" s="10">
        <f t="shared" si="123"/>
        <v>1114.21</v>
      </c>
      <c r="AO114" s="10">
        <f t="shared" si="124"/>
        <v>1499.79</v>
      </c>
      <c r="AP114" s="10">
        <f t="shared" si="125"/>
        <v>623.2600000000002</v>
      </c>
      <c r="AR114" s="43">
        <f t="shared" si="115"/>
        <v>40575</v>
      </c>
      <c r="AS114" s="11">
        <f>AS$5+SUM(AV$5:AV113)-SUM(X$5:X114)+SUM(W$5:W114)</f>
        <v>161235.47042392948</v>
      </c>
      <c r="AT114" s="10">
        <f t="shared" si="126"/>
        <v>-176.01538854612303</v>
      </c>
      <c r="AU114" s="10">
        <f>IF(AB114=1,IF(Q114="tak",AT114,PMT(M114/12,P114+1-SUM(AB$5:AB114),AS114)),0)</f>
        <v>-600.3931984713067</v>
      </c>
      <c r="AV114" s="10">
        <f t="shared" si="127"/>
        <v>-424.37780992518367</v>
      </c>
      <c r="AW114" s="10">
        <f t="shared" si="128"/>
        <v>-1819.911863206225</v>
      </c>
      <c r="AY114" s="11">
        <f>AY$5+SUM(BA$5:BA113)+SUM(W$5:W113)-SUM(X$5:X113)</f>
        <v>155336.1271914856</v>
      </c>
      <c r="AZ114" s="11">
        <f t="shared" si="129"/>
        <v>-176.01538854612303</v>
      </c>
      <c r="BA114" s="11">
        <f t="shared" si="130"/>
        <v>-490.02</v>
      </c>
      <c r="BB114" s="11">
        <f t="shared" si="135"/>
        <v>-666.035388546123</v>
      </c>
      <c r="BC114" s="11">
        <f t="shared" si="116"/>
        <v>-2018.8864697610084</v>
      </c>
      <c r="BE114" s="172">
        <f t="shared" si="87"/>
        <v>0.0411</v>
      </c>
      <c r="BF114" s="44">
        <f>BE114+Podsumowanie!$E$6</f>
        <v>0.053099999999999994</v>
      </c>
      <c r="BG114" s="11">
        <f>BG$5+SUM(BH$5:BH113)+SUM(R$5:R113)-SUM(S$5:S113)</f>
        <v>381509.48733664263</v>
      </c>
      <c r="BH114" s="10">
        <f t="shared" si="81"/>
        <v>-549.6020215299088</v>
      </c>
      <c r="BI114" s="10">
        <f t="shared" si="132"/>
        <v>-1688.1794814646435</v>
      </c>
      <c r="BJ114" s="10">
        <f>IF(U114&lt;0,PMT(BF114/12,Podsumowanie!E$8-SUM(AB$5:AB114)+1,BG114),0)</f>
        <v>-2237.7815029945523</v>
      </c>
      <c r="BL114" s="11">
        <f>BL$5+SUM(BN$5:BN113)+SUM(R$5:R113)-SUM(S$5:S113)</f>
        <v>353203.3426183844</v>
      </c>
      <c r="BM114" s="11">
        <f t="shared" si="88"/>
        <v>-1562.9247910863508</v>
      </c>
      <c r="BN114" s="11">
        <f t="shared" si="89"/>
        <v>-1114.2061281337046</v>
      </c>
      <c r="BO114" s="11">
        <f t="shared" si="90"/>
        <v>-2677.130919220055</v>
      </c>
      <c r="BQ114" s="44">
        <f t="shared" si="91"/>
        <v>0.0532</v>
      </c>
      <c r="BR114" s="11">
        <f>BR$5+SUM(BS$5:BS113)+SUM(R$5:R113)-SUM(S$5:S113)+SUM(BV$5:BV113)</f>
        <v>406535.8272401912</v>
      </c>
      <c r="BS114" s="10">
        <f t="shared" si="101"/>
        <v>-584.7102863393059</v>
      </c>
      <c r="BT114" s="10">
        <f t="shared" si="102"/>
        <v>-1802.308834098181</v>
      </c>
      <c r="BU114" s="10">
        <f>IF(U114&lt;0,PMT(BQ114/12,Podsumowanie!E$8-SUM(AB$5:AB114)+1,BR114),0)</f>
        <v>-2387.019120437487</v>
      </c>
      <c r="BV114" s="10">
        <f t="shared" si="96"/>
        <v>454.53538940407225</v>
      </c>
      <c r="BX114" s="11">
        <f>BX$5+SUM(BZ$5:BZ113)+SUM(R$5:R113)-SUM(S$5:S113)+SUM(CB$5,CB113)</f>
        <v>353788.2141571263</v>
      </c>
      <c r="BY114" s="10">
        <f t="shared" si="92"/>
        <v>-1568.4610827632598</v>
      </c>
      <c r="BZ114" s="10">
        <f t="shared" si="93"/>
        <v>-1116.051148760651</v>
      </c>
      <c r="CA114" s="10">
        <f t="shared" si="103"/>
        <v>-2684.5122315239105</v>
      </c>
      <c r="CB114" s="10">
        <f t="shared" si="104"/>
        <v>752.0285004904958</v>
      </c>
      <c r="CD114" s="10">
        <f>CD$5+SUM(CE$5:CE113)+SUM(R$5:R113)-SUM(S$5:S113)-SUM(CF$5:CF113)</f>
        <v>401071.81096056197</v>
      </c>
      <c r="CE114" s="10">
        <f t="shared" si="97"/>
        <v>1568.4610827632598</v>
      </c>
      <c r="CF114" s="10">
        <f t="shared" si="98"/>
        <v>1932.4837310334146</v>
      </c>
      <c r="CG114" s="10">
        <f t="shared" si="99"/>
        <v>364.02264827015483</v>
      </c>
      <c r="CI114" s="44">
        <v>0.5588</v>
      </c>
      <c r="CJ114" s="10">
        <f t="shared" si="100"/>
        <v>-1079.87</v>
      </c>
      <c r="CK114" s="4">
        <f t="shared" si="105"/>
        <v>0</v>
      </c>
      <c r="CM114" s="10">
        <f t="shared" si="106"/>
        <v>-82424.19066412885</v>
      </c>
      <c r="CN114" s="4">
        <f t="shared" si="107"/>
        <v>-282.3028530246413</v>
      </c>
    </row>
    <row r="115" spans="1:92" ht="15.75">
      <c r="A115" s="36"/>
      <c r="B115" s="37">
        <v>40603</v>
      </c>
      <c r="C115" s="77">
        <f t="shared" si="85"/>
        <v>3.1188</v>
      </c>
      <c r="D115" s="78">
        <f>C115*(1+Podsumowanie!E$11)</f>
        <v>3.212364</v>
      </c>
      <c r="E115" s="34">
        <f t="shared" si="117"/>
        <v>-618.9620602796977</v>
      </c>
      <c r="F115" s="7">
        <f t="shared" si="82"/>
        <v>-1988.3314398083307</v>
      </c>
      <c r="G115" s="7">
        <f t="shared" si="118"/>
        <v>-1365.1740546840572</v>
      </c>
      <c r="H115" s="7">
        <f t="shared" si="83"/>
        <v>623.1573851242736</v>
      </c>
      <c r="I115" s="32"/>
      <c r="J115" s="4" t="str">
        <f t="shared" si="113"/>
        <v xml:space="preserve"> </v>
      </c>
      <c r="K115" s="4">
        <f>IF(B115&lt;Podsumowanie!E$7,0,K114+1)</f>
        <v>45</v>
      </c>
      <c r="L115" s="100">
        <f t="shared" si="86"/>
        <v>0.0011</v>
      </c>
      <c r="M115" s="38">
        <f>L115+Podsumowanie!E$6</f>
        <v>0.0131</v>
      </c>
      <c r="N115" s="101">
        <f>MAX(Podsumowanie!E$4+SUM(AA$5:AA114)-SUM(X$5:X115)+SUM(W$5:W115),0)</f>
        <v>165784.63156082918</v>
      </c>
      <c r="O115" s="102">
        <f>MAX(Podsumowanie!E$2+SUM(V$5:V114)-SUM(S$5:S115)+SUM(R$5:R115),0)</f>
        <v>365652.26238572295</v>
      </c>
      <c r="P115" s="39">
        <f t="shared" si="133"/>
        <v>360</v>
      </c>
      <c r="Q115" s="40" t="str">
        <f>IF(AND(K115&gt;0,K115&lt;=Podsumowanie!E$9),"tak","nie")</f>
        <v>nie</v>
      </c>
      <c r="R115" s="41"/>
      <c r="S115" s="42"/>
      <c r="T115" s="88">
        <f t="shared" si="119"/>
        <v>-399.17038643774754</v>
      </c>
      <c r="U115" s="89">
        <f>IF(Q115="tak",T115,IF(P115-SUM(AB$5:AB115)+1&gt;0,IF(Podsumowanie!E$7&lt;B115,IF(SUM(AB$5:AB115)-Podsumowanie!E$9+1&gt;0,PMT(M115/12,P115+1-SUM(AB$5:AB115),O115),T115),0),0))</f>
        <v>-1365.1740546840572</v>
      </c>
      <c r="V115" s="89">
        <f t="shared" si="84"/>
        <v>-966.0036682463096</v>
      </c>
      <c r="W115" s="90" t="str">
        <f>IF(R115&gt;0,R115/(C115*(1-Podsumowanie!E$11))," ")</f>
        <v xml:space="preserve"> </v>
      </c>
      <c r="X115" s="90">
        <f t="shared" si="94"/>
        <v>0</v>
      </c>
      <c r="Y115" s="91">
        <f t="shared" si="112"/>
        <v>-180.98155612057187</v>
      </c>
      <c r="Z115" s="90">
        <f>IF(P115-SUM(AB$5:AB115)+1&gt;0,IF(Podsumowanie!E$7&lt;B115,IF(SUM(AB$5:AB115)-Podsumowanie!E$9+1&gt;0,PMT(M115/12,P115+1-SUM(AB$5:AB115),N115),Y115),0),0)</f>
        <v>-618.9620602796977</v>
      </c>
      <c r="AA115" s="90">
        <f t="shared" si="80"/>
        <v>-437.98050415912576</v>
      </c>
      <c r="AB115" s="8">
        <f>IF(AND(Podsumowanie!E$7&lt;B115,SUM(AB$5:AB114)&lt;P114),1," ")</f>
        <v>1</v>
      </c>
      <c r="AD115" s="51">
        <f>IF(OR(B115&lt;Podsumowanie!E$12,Podsumowanie!E$12=""),-F115+S115,0)</f>
        <v>1988.3314398083307</v>
      </c>
      <c r="AE115" s="51">
        <f t="shared" si="95"/>
        <v>0</v>
      </c>
      <c r="AG115" s="10">
        <f>Podsumowanie!E$4-SUM(AI$5:AI114)+SUM(W$42:W115)-SUM(X$42:X115)</f>
        <v>159635.2981355522</v>
      </c>
      <c r="AH115" s="10">
        <f t="shared" si="120"/>
        <v>174.27</v>
      </c>
      <c r="AI115" s="10">
        <f t="shared" si="121"/>
        <v>505.17</v>
      </c>
      <c r="AJ115" s="10">
        <f t="shared" si="134"/>
        <v>679.44</v>
      </c>
      <c r="AK115" s="10">
        <f t="shared" si="114"/>
        <v>2182.61</v>
      </c>
      <c r="AL115" s="10">
        <f>Podsumowanie!E$2-SUM(AN$5:AN114)+SUM(R$42:R115)-SUM(S$42:S115)</f>
        <v>352088.97000000003</v>
      </c>
      <c r="AM115" s="10">
        <f t="shared" si="122"/>
        <v>384.36</v>
      </c>
      <c r="AN115" s="10">
        <f t="shared" si="123"/>
        <v>1114.21</v>
      </c>
      <c r="AO115" s="10">
        <f t="shared" si="124"/>
        <v>1498.5700000000002</v>
      </c>
      <c r="AP115" s="10">
        <f t="shared" si="125"/>
        <v>684.04</v>
      </c>
      <c r="AR115" s="43">
        <f t="shared" si="115"/>
        <v>40603</v>
      </c>
      <c r="AS115" s="11">
        <f>AS$5+SUM(AV$5:AV114)-SUM(X$5:X115)+SUM(W$5:W115)</f>
        <v>160811.0926140043</v>
      </c>
      <c r="AT115" s="10">
        <f t="shared" si="126"/>
        <v>-175.55210943695468</v>
      </c>
      <c r="AU115" s="10">
        <f>IF(AB115=1,IF(Q115="tak",AT115,PMT(M115/12,P115+1-SUM(AB$5:AB115),AS115)),0)</f>
        <v>-600.3931984713067</v>
      </c>
      <c r="AV115" s="10">
        <f t="shared" si="127"/>
        <v>-424.8410890343521</v>
      </c>
      <c r="AW115" s="10">
        <f t="shared" si="128"/>
        <v>-1872.5063073923113</v>
      </c>
      <c r="AY115" s="11">
        <f>AY$5+SUM(BA$5:BA114)+SUM(W$5:W114)-SUM(X$5:X114)</f>
        <v>154846.10719148561</v>
      </c>
      <c r="AZ115" s="11">
        <f t="shared" si="129"/>
        <v>-175.55210943695468</v>
      </c>
      <c r="BA115" s="11">
        <f t="shared" si="130"/>
        <v>-490.02</v>
      </c>
      <c r="BB115" s="11">
        <f t="shared" si="135"/>
        <v>-665.5721094369546</v>
      </c>
      <c r="BC115" s="11">
        <f t="shared" si="116"/>
        <v>-2075.786294911974</v>
      </c>
      <c r="BE115" s="172">
        <f t="shared" si="87"/>
        <v>0.0418</v>
      </c>
      <c r="BF115" s="44">
        <f>BE115+Podsumowanie!$E$6</f>
        <v>0.0538</v>
      </c>
      <c r="BG115" s="11">
        <f>BG$5+SUM(BH$5:BH114)+SUM(R$5:R114)-SUM(S$5:S114)</f>
        <v>380959.8853151127</v>
      </c>
      <c r="BH115" s="10">
        <f t="shared" si="81"/>
        <v>-545.8481454506484</v>
      </c>
      <c r="BI115" s="10">
        <f t="shared" si="132"/>
        <v>-1707.9701524960885</v>
      </c>
      <c r="BJ115" s="10">
        <f>IF(U115&lt;0,PMT(BF115/12,Podsumowanie!E$8-SUM(AB$5:AB115)+1,BG115),0)</f>
        <v>-2253.818297946737</v>
      </c>
      <c r="BL115" s="11">
        <f>BL$5+SUM(BN$5:BN114)+SUM(R$5:R114)-SUM(S$5:S114)</f>
        <v>352089.13649025065</v>
      </c>
      <c r="BM115" s="11">
        <f t="shared" si="88"/>
        <v>-1578.5329619312904</v>
      </c>
      <c r="BN115" s="11">
        <f t="shared" si="89"/>
        <v>-1114.2061281337046</v>
      </c>
      <c r="BO115" s="11">
        <f t="shared" si="90"/>
        <v>-2692.7390900649953</v>
      </c>
      <c r="BQ115" s="44">
        <f t="shared" si="91"/>
        <v>0.053899999999999997</v>
      </c>
      <c r="BR115" s="11">
        <f>BR$5+SUM(BS$5:BS114)+SUM(R$5:R114)-SUM(S$5:S114)+SUM(BV$5:BV114)</f>
        <v>406405.65234325593</v>
      </c>
      <c r="BS115" s="10">
        <f t="shared" si="101"/>
        <v>-581.369579770786</v>
      </c>
      <c r="BT115" s="10">
        <f t="shared" si="102"/>
        <v>-1825.4387217751246</v>
      </c>
      <c r="BU115" s="10">
        <f>IF(U115&lt;0,PMT(BQ115/12,Podsumowanie!E$8-SUM(AB$5:AB115)+1,BR115),0)</f>
        <v>-2406.8083015459106</v>
      </c>
      <c r="BV115" s="10">
        <f t="shared" si="96"/>
        <v>418.47686173757984</v>
      </c>
      <c r="BX115" s="11">
        <f>BX$5+SUM(BZ$5:BZ114)+SUM(R$5:R114)-SUM(S$5:S114)+SUM(CB$5,CB114)</f>
        <v>352709.43870430853</v>
      </c>
      <c r="BY115" s="10">
        <f t="shared" si="92"/>
        <v>-1584.2532288468522</v>
      </c>
      <c r="BZ115" s="10">
        <f t="shared" si="93"/>
        <v>-1116.1691098237611</v>
      </c>
      <c r="CA115" s="10">
        <f t="shared" si="103"/>
        <v>-2700.4223386706135</v>
      </c>
      <c r="CB115" s="10">
        <f t="shared" si="104"/>
        <v>712.0908988622828</v>
      </c>
      <c r="CD115" s="10">
        <f>CD$5+SUM(CE$5:CE114)+SUM(R$5:R114)-SUM(S$5:S114)-SUM(CF$5:CF114)</f>
        <v>400707.78831229184</v>
      </c>
      <c r="CE115" s="10">
        <f t="shared" si="97"/>
        <v>1584.2532288468522</v>
      </c>
      <c r="CF115" s="10">
        <f t="shared" si="98"/>
        <v>1988.3314398083307</v>
      </c>
      <c r="CG115" s="10">
        <f t="shared" si="99"/>
        <v>404.0782109614786</v>
      </c>
      <c r="CI115" s="44">
        <v>0.5557</v>
      </c>
      <c r="CJ115" s="10">
        <f t="shared" si="100"/>
        <v>-1104.92</v>
      </c>
      <c r="CK115" s="4">
        <f t="shared" si="105"/>
        <v>0</v>
      </c>
      <c r="CM115" s="10">
        <f t="shared" si="106"/>
        <v>-84412.52210393718</v>
      </c>
      <c r="CN115" s="4">
        <f t="shared" si="107"/>
        <v>-294.0369519953812</v>
      </c>
    </row>
    <row r="116" spans="1:92" ht="15.75">
      <c r="A116" s="36"/>
      <c r="B116" s="37">
        <v>40634</v>
      </c>
      <c r="C116" s="77">
        <f t="shared" si="85"/>
        <v>3.0592</v>
      </c>
      <c r="D116" s="78">
        <f>C116*(1+Podsumowanie!E$11)</f>
        <v>3.1509760000000004</v>
      </c>
      <c r="E116" s="34">
        <f t="shared" si="117"/>
        <v>-618.9620602796978</v>
      </c>
      <c r="F116" s="7">
        <f t="shared" si="82"/>
        <v>-1950.3345968518813</v>
      </c>
      <c r="G116" s="7">
        <f t="shared" si="118"/>
        <v>-1365.1740546840572</v>
      </c>
      <c r="H116" s="7">
        <f t="shared" si="83"/>
        <v>585.1605421678241</v>
      </c>
      <c r="I116" s="32"/>
      <c r="J116" s="4" t="str">
        <f t="shared" si="113"/>
        <v xml:space="preserve"> </v>
      </c>
      <c r="K116" s="4">
        <f>IF(B116&lt;Podsumowanie!E$7,0,K115+1)</f>
        <v>46</v>
      </c>
      <c r="L116" s="100">
        <f t="shared" si="86"/>
        <v>0.0011</v>
      </c>
      <c r="M116" s="38">
        <f>L116+Podsumowanie!E$6</f>
        <v>0.0131</v>
      </c>
      <c r="N116" s="101">
        <f>MAX(Podsumowanie!E$4+SUM(AA$5:AA115)-SUM(X$5:X116)+SUM(W$5:W116),0)</f>
        <v>165346.65105667006</v>
      </c>
      <c r="O116" s="102">
        <f>MAX(Podsumowanie!E$2+SUM(V$5:V115)-SUM(S$5:S116)+SUM(R$5:R116),0)</f>
        <v>364686.2587174766</v>
      </c>
      <c r="P116" s="39">
        <f t="shared" si="133"/>
        <v>360</v>
      </c>
      <c r="Q116" s="40" t="str">
        <f>IF(AND(K116&gt;0,K116&lt;=Podsumowanie!E$9),"tak","nie")</f>
        <v>nie</v>
      </c>
      <c r="R116" s="41"/>
      <c r="S116" s="42"/>
      <c r="T116" s="88">
        <f t="shared" si="119"/>
        <v>-398.1158324332453</v>
      </c>
      <c r="U116" s="89">
        <f>IF(Q116="tak",T116,IF(P116-SUM(AB$5:AB116)+1&gt;0,IF(Podsumowanie!E$7&lt;B116,IF(SUM(AB$5:AB116)-Podsumowanie!E$9+1&gt;0,PMT(M116/12,P116+1-SUM(AB$5:AB116),O116),T116),0),0))</f>
        <v>-1365.1740546840572</v>
      </c>
      <c r="V116" s="89">
        <f t="shared" si="84"/>
        <v>-967.0582222508119</v>
      </c>
      <c r="W116" s="90" t="str">
        <f>IF(R116&gt;0,R116/(C116*(1-Podsumowanie!E$11))," ")</f>
        <v xml:space="preserve"> </v>
      </c>
      <c r="X116" s="90">
        <f t="shared" si="94"/>
        <v>0</v>
      </c>
      <c r="Y116" s="91">
        <f t="shared" si="112"/>
        <v>-180.5034274035315</v>
      </c>
      <c r="Z116" s="90">
        <f>IF(P116-SUM(AB$5:AB116)+1&gt;0,IF(Podsumowanie!E$7&lt;B116,IF(SUM(AB$5:AB116)-Podsumowanie!E$9+1&gt;0,PMT(M116/12,P116+1-SUM(AB$5:AB116),N116),Y116),0),0)</f>
        <v>-618.9620602796978</v>
      </c>
      <c r="AA116" s="90">
        <f aca="true" t="shared" si="136" ref="AA116:AA162">Z116-Y116</f>
        <v>-438.45863287616623</v>
      </c>
      <c r="AB116" s="8">
        <f>IF(AND(Podsumowanie!E$7&lt;B116,SUM(AB$5:AB115)&lt;P115),1," ")</f>
        <v>1</v>
      </c>
      <c r="AD116" s="51">
        <f>IF(OR(B116&lt;Podsumowanie!E$12,Podsumowanie!E$12=""),-F116+S116,0)</f>
        <v>1950.3345968518813</v>
      </c>
      <c r="AE116" s="51">
        <f t="shared" si="95"/>
        <v>0</v>
      </c>
      <c r="AG116" s="10">
        <f>Podsumowanie!E$4-SUM(AI$5:AI115)+SUM(W$42:W116)-SUM(X$42:X116)</f>
        <v>159130.12813555222</v>
      </c>
      <c r="AH116" s="10">
        <f t="shared" si="120"/>
        <v>173.72</v>
      </c>
      <c r="AI116" s="10">
        <f t="shared" si="121"/>
        <v>505.18</v>
      </c>
      <c r="AJ116" s="10">
        <f t="shared" si="134"/>
        <v>678.9</v>
      </c>
      <c r="AK116" s="10">
        <f t="shared" si="114"/>
        <v>2139.2</v>
      </c>
      <c r="AL116" s="10">
        <f>Podsumowanie!E$2-SUM(AN$5:AN115)+SUM(R$42:R116)-SUM(S$42:S116)</f>
        <v>350974.76</v>
      </c>
      <c r="AM116" s="10">
        <f t="shared" si="122"/>
        <v>383.15</v>
      </c>
      <c r="AN116" s="10">
        <f t="shared" si="123"/>
        <v>1114.21</v>
      </c>
      <c r="AO116" s="10">
        <f t="shared" si="124"/>
        <v>1497.3600000000001</v>
      </c>
      <c r="AP116" s="10">
        <f t="shared" si="125"/>
        <v>641.8399999999997</v>
      </c>
      <c r="AR116" s="43">
        <f t="shared" si="115"/>
        <v>40634</v>
      </c>
      <c r="AS116" s="11">
        <f>AS$5+SUM(AV$5:AV115)-SUM(X$5:X116)+SUM(W$5:W116)</f>
        <v>160386.25152496994</v>
      </c>
      <c r="AT116" s="10">
        <f t="shared" si="126"/>
        <v>-175.0883245814255</v>
      </c>
      <c r="AU116" s="10">
        <f>IF(AB116=1,IF(Q116="tak",AT116,PMT(M116/12,P116+1-SUM(AB$5:AB116),AS116)),0)</f>
        <v>-600.3931984713067</v>
      </c>
      <c r="AV116" s="10">
        <f t="shared" si="127"/>
        <v>-425.30487388988126</v>
      </c>
      <c r="AW116" s="10">
        <f t="shared" si="128"/>
        <v>-1836.7228727634217</v>
      </c>
      <c r="AY116" s="11">
        <f>AY$5+SUM(BA$5:BA115)+SUM(W$5:W115)-SUM(X$5:X115)</f>
        <v>154356.08719148563</v>
      </c>
      <c r="AZ116" s="11">
        <f t="shared" si="129"/>
        <v>-175.0883245814255</v>
      </c>
      <c r="BA116" s="11">
        <f t="shared" si="130"/>
        <v>-490.02</v>
      </c>
      <c r="BB116" s="11">
        <f t="shared" si="135"/>
        <v>-665.1083245814254</v>
      </c>
      <c r="BC116" s="11">
        <f t="shared" si="116"/>
        <v>-2034.6993865594968</v>
      </c>
      <c r="BE116" s="172">
        <f t="shared" si="87"/>
        <v>0.0427</v>
      </c>
      <c r="BF116" s="44">
        <f>BE116+Podsumowanie!$E$6</f>
        <v>0.0547</v>
      </c>
      <c r="BG116" s="11">
        <f>BG$5+SUM(BH$5:BH115)+SUM(R$5:R115)-SUM(S$5:S115)</f>
        <v>380414.0371696621</v>
      </c>
      <c r="BH116" s="10">
        <f aca="true" t="shared" si="137" ref="BH116:BH176">IF(BJ116&lt;0,BJ116-BI116,0)</f>
        <v>-540.4180055909046</v>
      </c>
      <c r="BI116" s="10">
        <f t="shared" si="132"/>
        <v>-1734.0539860983763</v>
      </c>
      <c r="BJ116" s="10">
        <f>IF(U116&lt;0,PMT(BF116/12,Podsumowanie!E$8-SUM(AB$5:AB116)+1,BG116),0)</f>
        <v>-2274.471991689281</v>
      </c>
      <c r="BL116" s="11">
        <f>BL$5+SUM(BN$5:BN115)+SUM(R$5:R115)-SUM(S$5:S115)</f>
        <v>350974.93036211695</v>
      </c>
      <c r="BM116" s="11">
        <f t="shared" si="88"/>
        <v>-1599.860724233983</v>
      </c>
      <c r="BN116" s="11">
        <f t="shared" si="89"/>
        <v>-1114.2061281337046</v>
      </c>
      <c r="BO116" s="11">
        <f t="shared" si="90"/>
        <v>-2714.0668523676877</v>
      </c>
      <c r="BQ116" s="44">
        <f t="shared" si="91"/>
        <v>0.0548</v>
      </c>
      <c r="BR116" s="11">
        <f>BR$5+SUM(BS$5:BS115)+SUM(R$5:R115)-SUM(S$5:S115)+SUM(BV$5:BV115)</f>
        <v>406242.75962522277</v>
      </c>
      <c r="BS116" s="10">
        <f t="shared" si="101"/>
        <v>-576.1817603420218</v>
      </c>
      <c r="BT116" s="10">
        <f t="shared" si="102"/>
        <v>-1855.175268955184</v>
      </c>
      <c r="BU116" s="10">
        <f>IF(U116&lt;0,PMT(BQ116/12,Podsumowanie!E$8-SUM(AB$5:AB116)+1,BR116),0)</f>
        <v>-2431.357029297206</v>
      </c>
      <c r="BV116" s="10">
        <f t="shared" si="96"/>
        <v>481.0224324453245</v>
      </c>
      <c r="BX116" s="11">
        <f>BX$5+SUM(BZ$5:BZ115)+SUM(R$5:R115)-SUM(S$5:S115)+SUM(CB$5,CB115)</f>
        <v>351553.3319928566</v>
      </c>
      <c r="BY116" s="10">
        <f t="shared" si="92"/>
        <v>-1605.4268827673784</v>
      </c>
      <c r="BZ116" s="10">
        <f t="shared" si="93"/>
        <v>-1116.0423237868463</v>
      </c>
      <c r="CA116" s="10">
        <f t="shared" si="103"/>
        <v>-2721.469206554225</v>
      </c>
      <c r="CB116" s="10">
        <f t="shared" si="104"/>
        <v>771.1346097023436</v>
      </c>
      <c r="CD116" s="10">
        <f>CD$5+SUM(CE$5:CE115)+SUM(R$5:R115)-SUM(S$5:S115)-SUM(CF$5:CF115)</f>
        <v>400303.71010133036</v>
      </c>
      <c r="CE116" s="10">
        <f t="shared" si="97"/>
        <v>1605.4268827673784</v>
      </c>
      <c r="CF116" s="10">
        <f t="shared" si="98"/>
        <v>1950.3345968518813</v>
      </c>
      <c r="CG116" s="10">
        <f t="shared" si="99"/>
        <v>344.9077140845029</v>
      </c>
      <c r="CI116" s="44">
        <v>0.5418</v>
      </c>
      <c r="CJ116" s="10">
        <f t="shared" si="100"/>
        <v>-1056.69</v>
      </c>
      <c r="CK116" s="4">
        <f t="shared" si="105"/>
        <v>0</v>
      </c>
      <c r="CM116" s="10">
        <f t="shared" si="106"/>
        <v>-86362.85670078907</v>
      </c>
      <c r="CN116" s="4">
        <f t="shared" si="107"/>
        <v>-307.3078317603078</v>
      </c>
    </row>
    <row r="117" spans="1:92" ht="15.75">
      <c r="A117" s="36"/>
      <c r="B117" s="37">
        <v>40664</v>
      </c>
      <c r="C117" s="77">
        <f t="shared" si="85"/>
        <v>3.14</v>
      </c>
      <c r="D117" s="78">
        <f>C117*(1+Podsumowanie!E$11)</f>
        <v>3.2342000000000004</v>
      </c>
      <c r="E117" s="34">
        <f t="shared" si="117"/>
        <v>-618.9620602796979</v>
      </c>
      <c r="F117" s="7">
        <f t="shared" si="82"/>
        <v>-2001.847095356599</v>
      </c>
      <c r="G117" s="7">
        <f t="shared" si="118"/>
        <v>-1365.1740546840574</v>
      </c>
      <c r="H117" s="7">
        <f t="shared" si="83"/>
        <v>636.6730406725417</v>
      </c>
      <c r="I117" s="32"/>
      <c r="J117" s="4" t="str">
        <f t="shared" si="113"/>
        <v xml:space="preserve"> </v>
      </c>
      <c r="K117" s="4">
        <f>IF(B117&lt;Podsumowanie!E$7,0,K116+1)</f>
        <v>47</v>
      </c>
      <c r="L117" s="100">
        <f t="shared" si="86"/>
        <v>0.0011</v>
      </c>
      <c r="M117" s="38">
        <f>L117+Podsumowanie!E$6</f>
        <v>0.0131</v>
      </c>
      <c r="N117" s="101">
        <f>MAX(Podsumowanie!E$4+SUM(AA$5:AA116)-SUM(X$5:X117)+SUM(W$5:W117),0)</f>
        <v>164908.1924237939</v>
      </c>
      <c r="O117" s="102">
        <f>MAX(Podsumowanie!E$2+SUM(V$5:V116)-SUM(S$5:S117)+SUM(R$5:R117),0)</f>
        <v>363719.20049522584</v>
      </c>
      <c r="P117" s="39">
        <f t="shared" si="133"/>
        <v>360</v>
      </c>
      <c r="Q117" s="40" t="str">
        <f>IF(AND(K117&gt;0,K117&lt;=Podsumowanie!E$9),"tak","nie")</f>
        <v>nie</v>
      </c>
      <c r="R117" s="41"/>
      <c r="S117" s="42"/>
      <c r="T117" s="88">
        <f t="shared" si="119"/>
        <v>-397.0601272072882</v>
      </c>
      <c r="U117" s="89">
        <f>IF(Q117="tak",T117,IF(P117-SUM(AB$5:AB117)+1&gt;0,IF(Podsumowanie!E$7&lt;B117,IF(SUM(AB$5:AB117)-Podsumowanie!E$9+1&gt;0,PMT(M117/12,P117+1-SUM(AB$5:AB117),O117),T117),0),0))</f>
        <v>-1365.1740546840574</v>
      </c>
      <c r="V117" s="89">
        <f t="shared" si="84"/>
        <v>-968.1139274767693</v>
      </c>
      <c r="W117" s="90" t="str">
        <f>IF(R117&gt;0,R117/(C117*(1-Podsumowanie!E$11))," ")</f>
        <v xml:space="preserve"> </v>
      </c>
      <c r="X117" s="90">
        <f t="shared" si="94"/>
        <v>0</v>
      </c>
      <c r="Y117" s="91">
        <f t="shared" si="112"/>
        <v>-180.02477672930834</v>
      </c>
      <c r="Z117" s="90">
        <f>IF(P117-SUM(AB$5:AB117)+1&gt;0,IF(Podsumowanie!E$7&lt;B117,IF(SUM(AB$5:AB117)-Podsumowanie!E$9+1&gt;0,PMT(M117/12,P117+1-SUM(AB$5:AB117),N117),Y117),0),0)</f>
        <v>-618.9620602796979</v>
      </c>
      <c r="AA117" s="90">
        <f t="shared" si="136"/>
        <v>-438.93728355038957</v>
      </c>
      <c r="AB117" s="8">
        <f>IF(AND(Podsumowanie!E$7&lt;B117,SUM(AB$5:AB116)&lt;P116),1," ")</f>
        <v>1</v>
      </c>
      <c r="AD117" s="51">
        <f>IF(OR(B117&lt;Podsumowanie!E$12,Podsumowanie!E$12=""),-F117+S117,0)</f>
        <v>2001.847095356599</v>
      </c>
      <c r="AE117" s="51">
        <f t="shared" si="95"/>
        <v>0</v>
      </c>
      <c r="AG117" s="10">
        <f>Podsumowanie!E$4-SUM(AI$5:AI116)+SUM(W$42:W117)-SUM(X$42:X117)</f>
        <v>158624.9481355522</v>
      </c>
      <c r="AH117" s="10">
        <f t="shared" si="120"/>
        <v>173.17</v>
      </c>
      <c r="AI117" s="10">
        <f t="shared" si="121"/>
        <v>505.17</v>
      </c>
      <c r="AJ117" s="10">
        <f t="shared" si="134"/>
        <v>678.34</v>
      </c>
      <c r="AK117" s="10">
        <f t="shared" si="114"/>
        <v>2193.89</v>
      </c>
      <c r="AL117" s="10">
        <f>Podsumowanie!E$2-SUM(AN$5:AN116)+SUM(R$42:R117)-SUM(S$42:S117)</f>
        <v>349860.55000000005</v>
      </c>
      <c r="AM117" s="10">
        <f t="shared" si="122"/>
        <v>381.93</v>
      </c>
      <c r="AN117" s="10">
        <f t="shared" si="123"/>
        <v>1114.21</v>
      </c>
      <c r="AO117" s="10">
        <f t="shared" si="124"/>
        <v>1496.14</v>
      </c>
      <c r="AP117" s="10">
        <f t="shared" si="125"/>
        <v>697.7499999999998</v>
      </c>
      <c r="AR117" s="43">
        <f t="shared" si="115"/>
        <v>40664</v>
      </c>
      <c r="AS117" s="11">
        <f>AS$5+SUM(AV$5:AV116)-SUM(X$5:X117)+SUM(W$5:W117)</f>
        <v>159960.94665108007</v>
      </c>
      <c r="AT117" s="10">
        <f t="shared" si="126"/>
        <v>-174.6240334274291</v>
      </c>
      <c r="AU117" s="10">
        <f>IF(AB117=1,IF(Q117="tak",AT117,PMT(M117/12,P117+1-SUM(AB$5:AB117),AS117)),0)</f>
        <v>-600.3931984713068</v>
      </c>
      <c r="AV117" s="10">
        <f t="shared" si="127"/>
        <v>-425.7691650438777</v>
      </c>
      <c r="AW117" s="10">
        <f t="shared" si="128"/>
        <v>-1885.2346431999035</v>
      </c>
      <c r="AY117" s="11">
        <f>AY$5+SUM(BA$5:BA116)+SUM(W$5:W116)-SUM(X$5:X116)</f>
        <v>153866.0671914856</v>
      </c>
      <c r="AZ117" s="11">
        <f t="shared" si="129"/>
        <v>-174.6240334274291</v>
      </c>
      <c r="BA117" s="11">
        <f t="shared" si="130"/>
        <v>-490.02</v>
      </c>
      <c r="BB117" s="11">
        <f t="shared" si="135"/>
        <v>-664.6440334274291</v>
      </c>
      <c r="BC117" s="11">
        <f t="shared" si="116"/>
        <v>-2086.9822649621274</v>
      </c>
      <c r="BE117" s="172">
        <f t="shared" si="87"/>
        <v>0.044</v>
      </c>
      <c r="BF117" s="44">
        <f>BE117+Podsumowanie!$E$6</f>
        <v>0.055999999999999994</v>
      </c>
      <c r="BG117" s="11">
        <f>BG$5+SUM(BH$5:BH116)+SUM(R$5:R116)-SUM(S$5:S116)</f>
        <v>379873.61916407116</v>
      </c>
      <c r="BH117" s="10">
        <f t="shared" si="137"/>
        <v>-531.6547060306764</v>
      </c>
      <c r="BI117" s="10">
        <f t="shared" si="132"/>
        <v>-1772.7435560989986</v>
      </c>
      <c r="BJ117" s="10">
        <f>IF(U117&lt;0,PMT(BF117/12,Podsumowanie!E$8-SUM(AB$5:AB117)+1,BG117),0)</f>
        <v>-2304.398262129675</v>
      </c>
      <c r="BL117" s="11">
        <f>BL$5+SUM(BN$5:BN116)+SUM(R$5:R116)-SUM(S$5:S116)</f>
        <v>349860.72423398326</v>
      </c>
      <c r="BM117" s="11">
        <f t="shared" si="88"/>
        <v>-1632.6833797585884</v>
      </c>
      <c r="BN117" s="11">
        <f t="shared" si="89"/>
        <v>-1114.2061281337046</v>
      </c>
      <c r="BO117" s="11">
        <f t="shared" si="90"/>
        <v>-2746.8895078922933</v>
      </c>
      <c r="BQ117" s="44">
        <f t="shared" si="91"/>
        <v>0.0561</v>
      </c>
      <c r="BR117" s="11">
        <f>BR$5+SUM(BS$5:BS116)+SUM(R$5:R116)-SUM(S$5:S116)+SUM(BV$5:BV116)</f>
        <v>406147.60029732605</v>
      </c>
      <c r="BS117" s="10">
        <f t="shared" si="101"/>
        <v>-567.5116731098722</v>
      </c>
      <c r="BT117" s="10">
        <f t="shared" si="102"/>
        <v>-1898.740031389999</v>
      </c>
      <c r="BU117" s="10">
        <f>IF(U117&lt;0,PMT(BQ117/12,Podsumowanie!E$8-SUM(AB$5:AB117)+1,BR117),0)</f>
        <v>-2466.2517044998713</v>
      </c>
      <c r="BV117" s="10">
        <f t="shared" si="96"/>
        <v>464.4046091432722</v>
      </c>
      <c r="BX117" s="11">
        <f>BX$5+SUM(BZ$5:BZ116)+SUM(R$5:R116)-SUM(S$5:S116)+SUM(CB$5,CB116)</f>
        <v>350496.3333799098</v>
      </c>
      <c r="BY117" s="10">
        <f t="shared" si="92"/>
        <v>-1638.5703585510782</v>
      </c>
      <c r="BZ117" s="10">
        <f t="shared" si="93"/>
        <v>-1116.2303610825154</v>
      </c>
      <c r="CA117" s="10">
        <f t="shared" si="103"/>
        <v>-2754.800719633594</v>
      </c>
      <c r="CB117" s="10">
        <f t="shared" si="104"/>
        <v>752.9536242769948</v>
      </c>
      <c r="CD117" s="10">
        <f>CD$5+SUM(CE$5:CE116)+SUM(R$5:R116)-SUM(S$5:S116)-SUM(CF$5:CF116)</f>
        <v>399958.8023872459</v>
      </c>
      <c r="CE117" s="10">
        <f t="shared" si="97"/>
        <v>1638.5703585510782</v>
      </c>
      <c r="CF117" s="10">
        <f t="shared" si="98"/>
        <v>2001.847095356599</v>
      </c>
      <c r="CG117" s="10">
        <f t="shared" si="99"/>
        <v>363.27673680552084</v>
      </c>
      <c r="CI117" s="44">
        <v>0.5342</v>
      </c>
      <c r="CJ117" s="10">
        <f t="shared" si="100"/>
        <v>-1069.39</v>
      </c>
      <c r="CK117" s="4">
        <f t="shared" si="105"/>
        <v>0</v>
      </c>
      <c r="CM117" s="10">
        <f t="shared" si="106"/>
        <v>-88364.70379614567</v>
      </c>
      <c r="CN117" s="4">
        <f t="shared" si="107"/>
        <v>-324.0039139192008</v>
      </c>
    </row>
    <row r="118" spans="1:92" ht="15.75">
      <c r="A118" s="36"/>
      <c r="B118" s="37">
        <v>40695</v>
      </c>
      <c r="C118" s="77">
        <f t="shared" si="85"/>
        <v>3.2799</v>
      </c>
      <c r="D118" s="78">
        <f>C118*(1+Podsumowanie!E$11)</f>
        <v>3.3782970000000003</v>
      </c>
      <c r="E118" s="34">
        <f t="shared" si="117"/>
        <v>-618.9620602796978</v>
      </c>
      <c r="F118" s="7">
        <f aca="true" t="shared" si="138" ref="F118:F162">E118*D118</f>
        <v>-2091.0376713567225</v>
      </c>
      <c r="G118" s="7">
        <f t="shared" si="118"/>
        <v>-1365.1740546840572</v>
      </c>
      <c r="H118" s="7">
        <f aca="true" t="shared" si="139" ref="H118:H162">G118-F118</f>
        <v>725.8636166726653</v>
      </c>
      <c r="I118" s="32"/>
      <c r="J118" s="4" t="str">
        <f t="shared" si="113"/>
        <v xml:space="preserve"> </v>
      </c>
      <c r="K118" s="4">
        <f>IF(B118&lt;Podsumowanie!E$7,0,K117+1)</f>
        <v>48</v>
      </c>
      <c r="L118" s="100">
        <f t="shared" si="86"/>
        <v>0.0011</v>
      </c>
      <c r="M118" s="38">
        <f>L118+Podsumowanie!E$6</f>
        <v>0.0131</v>
      </c>
      <c r="N118" s="101">
        <f>MAX(Podsumowanie!E$4+SUM(AA$5:AA117)-SUM(X$5:X118)+SUM(W$5:W118),0)</f>
        <v>164469.2551402435</v>
      </c>
      <c r="O118" s="102">
        <f>MAX(Podsumowanie!E$2+SUM(V$5:V117)-SUM(S$5:S118)+SUM(R$5:R118),0)</f>
        <v>362751.08656774904</v>
      </c>
      <c r="P118" s="39">
        <f t="shared" si="133"/>
        <v>360</v>
      </c>
      <c r="Q118" s="40" t="str">
        <f>IF(AND(K118&gt;0,K118&lt;=Podsumowanie!E$9),"tak","nie")</f>
        <v>nie</v>
      </c>
      <c r="R118" s="41"/>
      <c r="S118" s="42"/>
      <c r="T118" s="88">
        <f t="shared" si="119"/>
        <v>-396.0032695031261</v>
      </c>
      <c r="U118" s="89">
        <f>IF(Q118="tak",T118,IF(P118-SUM(AB$5:AB118)+1&gt;0,IF(Podsumowanie!E$7&lt;B118,IF(SUM(AB$5:AB118)-Podsumowanie!E$9+1&gt;0,PMT(M118/12,P118+1-SUM(AB$5:AB118),O118),T118),0),0))</f>
        <v>-1365.1740546840572</v>
      </c>
      <c r="V118" s="89">
        <f t="shared" si="84"/>
        <v>-969.170785180931</v>
      </c>
      <c r="W118" s="90" t="str">
        <f>IF(R118&gt;0,R118/(C118*(1-Podsumowanie!E$11))," ")</f>
        <v xml:space="preserve"> </v>
      </c>
      <c r="X118" s="90">
        <f t="shared" si="94"/>
        <v>0</v>
      </c>
      <c r="Y118" s="91">
        <f t="shared" si="112"/>
        <v>-179.54560352809915</v>
      </c>
      <c r="Z118" s="90">
        <f>IF(P118-SUM(AB$5:AB118)+1&gt;0,IF(Podsumowanie!E$7&lt;B118,IF(SUM(AB$5:AB118)-Podsumowanie!E$9+1&gt;0,PMT(M118/12,P118+1-SUM(AB$5:AB118),N118),Y118),0),0)</f>
        <v>-618.9620602796978</v>
      </c>
      <c r="AA118" s="90">
        <f t="shared" si="136"/>
        <v>-439.4164567515986</v>
      </c>
      <c r="AB118" s="8">
        <f>IF(AND(Podsumowanie!E$7&lt;B118,SUM(AB$5:AB117)&lt;P117),1," ")</f>
        <v>1</v>
      </c>
      <c r="AD118" s="51">
        <f>IF(OR(B118&lt;Podsumowanie!E$12,Podsumowanie!E$12=""),-F118+S118,0)</f>
        <v>2091.0376713567225</v>
      </c>
      <c r="AE118" s="51">
        <f t="shared" si="95"/>
        <v>0</v>
      </c>
      <c r="AG118" s="10">
        <f>Podsumowanie!E$4-SUM(AI$5:AI117)+SUM(W$42:W118)-SUM(X$42:X118)</f>
        <v>158119.77813555222</v>
      </c>
      <c r="AH118" s="10">
        <f t="shared" si="120"/>
        <v>172.61</v>
      </c>
      <c r="AI118" s="10">
        <f t="shared" si="121"/>
        <v>505.18</v>
      </c>
      <c r="AJ118" s="10">
        <f t="shared" si="134"/>
        <v>677.79</v>
      </c>
      <c r="AK118" s="10">
        <f t="shared" si="114"/>
        <v>2289.78</v>
      </c>
      <c r="AL118" s="10">
        <f>Podsumowanie!E$2-SUM(AN$5:AN117)+SUM(R$42:R118)-SUM(S$42:S118)</f>
        <v>348746.34</v>
      </c>
      <c r="AM118" s="10">
        <f t="shared" si="122"/>
        <v>380.71</v>
      </c>
      <c r="AN118" s="10">
        <f t="shared" si="123"/>
        <v>1114.21</v>
      </c>
      <c r="AO118" s="10">
        <f t="shared" si="124"/>
        <v>1494.92</v>
      </c>
      <c r="AP118" s="10">
        <f t="shared" si="125"/>
        <v>794.8600000000001</v>
      </c>
      <c r="AR118" s="43">
        <f t="shared" si="115"/>
        <v>40695</v>
      </c>
      <c r="AS118" s="11">
        <f>AS$5+SUM(AV$5:AV117)-SUM(X$5:X118)+SUM(W$5:W118)</f>
        <v>159535.17748603618</v>
      </c>
      <c r="AT118" s="10">
        <f t="shared" si="126"/>
        <v>-174.15923542225616</v>
      </c>
      <c r="AU118" s="10">
        <f>IF(AB118=1,IF(Q118="tak",AT118,PMT(M118/12,P118+1-SUM(AB$5:AB118),AS118)),0)</f>
        <v>-600.3931984713067</v>
      </c>
      <c r="AV118" s="10">
        <f t="shared" si="127"/>
        <v>-426.23396304905054</v>
      </c>
      <c r="AW118" s="10">
        <f t="shared" si="128"/>
        <v>-1969.229651666039</v>
      </c>
      <c r="AY118" s="11">
        <f>AY$5+SUM(BA$5:BA117)+SUM(W$5:W117)-SUM(X$5:X117)</f>
        <v>153376.04719148562</v>
      </c>
      <c r="AZ118" s="11">
        <f t="shared" si="129"/>
        <v>-174.15923542225616</v>
      </c>
      <c r="BA118" s="11">
        <f t="shared" si="130"/>
        <v>-490.02</v>
      </c>
      <c r="BB118" s="11">
        <f t="shared" si="135"/>
        <v>-664.1792354222562</v>
      </c>
      <c r="BC118" s="11">
        <f t="shared" si="116"/>
        <v>-2178.441474261458</v>
      </c>
      <c r="BE118" s="172">
        <f t="shared" si="87"/>
        <v>0.0461</v>
      </c>
      <c r="BF118" s="44">
        <f>BE118+Podsumowanie!$E$6</f>
        <v>0.0581</v>
      </c>
      <c r="BG118" s="11">
        <f>BG$5+SUM(BH$5:BH117)+SUM(R$5:R117)-SUM(S$5:S117)</f>
        <v>379341.9644580405</v>
      </c>
      <c r="BH118" s="10">
        <f t="shared" si="137"/>
        <v>-516.3801747242035</v>
      </c>
      <c r="BI118" s="10">
        <f t="shared" si="132"/>
        <v>-1836.647344584346</v>
      </c>
      <c r="BJ118" s="10">
        <f>IF(U118&lt;0,PMT(BF118/12,Podsumowanie!E$8-SUM(AB$5:AB118)+1,BG118),0)</f>
        <v>-2353.0275193085495</v>
      </c>
      <c r="BL118" s="11">
        <f>BL$5+SUM(BN$5:BN117)+SUM(R$5:R117)-SUM(S$5:S117)</f>
        <v>348746.5181058495</v>
      </c>
      <c r="BM118" s="11">
        <f t="shared" si="88"/>
        <v>-1688.5143918291549</v>
      </c>
      <c r="BN118" s="11">
        <f t="shared" si="89"/>
        <v>-1114.2061281337044</v>
      </c>
      <c r="BO118" s="11">
        <f t="shared" si="90"/>
        <v>-2802.7205199628593</v>
      </c>
      <c r="BQ118" s="44">
        <f t="shared" si="91"/>
        <v>0.0582</v>
      </c>
      <c r="BR118" s="11">
        <f>BR$5+SUM(BS$5:BS117)+SUM(R$5:R117)-SUM(S$5:S117)+SUM(BV$5:BV117)</f>
        <v>406044.4932333595</v>
      </c>
      <c r="BS118" s="10">
        <f t="shared" si="101"/>
        <v>-551.8369683961216</v>
      </c>
      <c r="BT118" s="10">
        <f t="shared" si="102"/>
        <v>-1969.3157921817935</v>
      </c>
      <c r="BU118" s="10">
        <f>IF(U118&lt;0,PMT(BQ118/12,Podsumowanie!E$8-SUM(AB$5:AB118)+1,BR118),0)</f>
        <v>-2521.152760577915</v>
      </c>
      <c r="BV118" s="10">
        <f t="shared" si="96"/>
        <v>430.11508922119265</v>
      </c>
      <c r="BX118" s="11">
        <f>BX$5+SUM(BZ$5:BZ117)+SUM(R$5:R117)-SUM(S$5:S117)+SUM(CB$5,CB117)</f>
        <v>349361.9220334019</v>
      </c>
      <c r="BY118" s="10">
        <f t="shared" si="92"/>
        <v>-1694.4053218619993</v>
      </c>
      <c r="BZ118" s="10">
        <f t="shared" si="93"/>
        <v>-1116.1722748670988</v>
      </c>
      <c r="CA118" s="10">
        <f t="shared" si="103"/>
        <v>-2810.5775967290983</v>
      </c>
      <c r="CB118" s="10">
        <f t="shared" si="104"/>
        <v>719.5399253723758</v>
      </c>
      <c r="CD118" s="10">
        <f>CD$5+SUM(CE$5:CE117)+SUM(R$5:R117)-SUM(S$5:S117)-SUM(CF$5:CF117)</f>
        <v>399595.5256504403</v>
      </c>
      <c r="CE118" s="10">
        <f t="shared" si="97"/>
        <v>1694.4053218619993</v>
      </c>
      <c r="CF118" s="10">
        <f t="shared" si="98"/>
        <v>2091.0376713567225</v>
      </c>
      <c r="CG118" s="10">
        <f t="shared" si="99"/>
        <v>396.63234949472326</v>
      </c>
      <c r="CI118" s="44">
        <v>0.525</v>
      </c>
      <c r="CJ118" s="10">
        <f t="shared" si="100"/>
        <v>-1097.79</v>
      </c>
      <c r="CK118" s="4">
        <f t="shared" si="105"/>
        <v>0</v>
      </c>
      <c r="CM118" s="10">
        <f t="shared" si="106"/>
        <v>-90455.74146750239</v>
      </c>
      <c r="CN118" s="4">
        <f t="shared" si="107"/>
        <v>-347.5008068043217</v>
      </c>
    </row>
    <row r="119" spans="1:92" ht="15.75">
      <c r="A119" s="36"/>
      <c r="B119" s="37">
        <v>40725</v>
      </c>
      <c r="C119" s="77">
        <f t="shared" si="85"/>
        <v>3.3824</v>
      </c>
      <c r="D119" s="78">
        <f>C119*(1+Podsumowanie!E$11)</f>
        <v>3.4838720000000003</v>
      </c>
      <c r="E119" s="34">
        <f t="shared" si="117"/>
        <v>-618.9620602796977</v>
      </c>
      <c r="F119" s="7">
        <f t="shared" si="138"/>
        <v>-2156.384590870751</v>
      </c>
      <c r="G119" s="7">
        <f t="shared" si="118"/>
        <v>-1365.1740546840574</v>
      </c>
      <c r="H119" s="7">
        <f t="shared" si="139"/>
        <v>791.2105361866934</v>
      </c>
      <c r="I119" s="32"/>
      <c r="J119" s="4" t="str">
        <f t="shared" si="113"/>
        <v xml:space="preserve"> </v>
      </c>
      <c r="K119" s="4">
        <f>IF(B119&lt;Podsumowanie!E$7,0,K118+1)</f>
        <v>49</v>
      </c>
      <c r="L119" s="100">
        <f t="shared" si="86"/>
        <v>0.0011</v>
      </c>
      <c r="M119" s="38">
        <f>L119+Podsumowanie!E$6</f>
        <v>0.0131</v>
      </c>
      <c r="N119" s="101">
        <f>MAX(Podsumowanie!E$4+SUM(AA$5:AA118)-SUM(X$5:X119)+SUM(W$5:W119),0)</f>
        <v>164029.8386834919</v>
      </c>
      <c r="O119" s="102">
        <f>MAX(Podsumowanie!E$2+SUM(V$5:V118)-SUM(S$5:S119)+SUM(R$5:R119),0)</f>
        <v>361781.91578256816</v>
      </c>
      <c r="P119" s="39">
        <f t="shared" si="133"/>
        <v>360</v>
      </c>
      <c r="Q119" s="40" t="str">
        <f>IF(AND(K119&gt;0,K119&lt;=Podsumowanie!E$9),"tak","nie")</f>
        <v>nie</v>
      </c>
      <c r="R119" s="41"/>
      <c r="S119" s="42"/>
      <c r="T119" s="88">
        <f t="shared" si="119"/>
        <v>-394.9452580626369</v>
      </c>
      <c r="U119" s="89">
        <f>IF(Q119="tak",T119,IF(P119-SUM(AB$5:AB119)+1&gt;0,IF(Podsumowanie!E$7&lt;B119,IF(SUM(AB$5:AB119)-Podsumowanie!E$9+1&gt;0,PMT(M119/12,P119+1-SUM(AB$5:AB119),O119),T119),0),0))</f>
        <v>-1365.1740546840574</v>
      </c>
      <c r="V119" s="89">
        <f t="shared" si="84"/>
        <v>-970.2287966214205</v>
      </c>
      <c r="W119" s="90" t="str">
        <f>IF(R119&gt;0,R119/(C119*(1-Podsumowanie!E$11))," ")</f>
        <v xml:space="preserve"> </v>
      </c>
      <c r="X119" s="90">
        <f t="shared" si="94"/>
        <v>0</v>
      </c>
      <c r="Y119" s="91">
        <f t="shared" si="112"/>
        <v>-179.06590722947865</v>
      </c>
      <c r="Z119" s="90">
        <f>IF(P119-SUM(AB$5:AB119)+1&gt;0,IF(Podsumowanie!E$7&lt;B119,IF(SUM(AB$5:AB119)-Podsumowanie!E$9+1&gt;0,PMT(M119/12,P119+1-SUM(AB$5:AB119),N119),Y119),0),0)</f>
        <v>-618.9620602796977</v>
      </c>
      <c r="AA119" s="90">
        <f t="shared" si="136"/>
        <v>-439.896153050219</v>
      </c>
      <c r="AB119" s="8">
        <f>IF(AND(Podsumowanie!E$7&lt;B119,SUM(AB$5:AB118)&lt;P118),1," ")</f>
        <v>1</v>
      </c>
      <c r="AD119" s="51">
        <f>IF(OR(B119&lt;Podsumowanie!E$12,Podsumowanie!E$12=""),-F119+S119,0)</f>
        <v>2156.384590870751</v>
      </c>
      <c r="AE119" s="51">
        <f t="shared" si="95"/>
        <v>0</v>
      </c>
      <c r="AG119" s="10">
        <f>Podsumowanie!E$4-SUM(AI$5:AI118)+SUM(W$42:W119)-SUM(X$42:X119)</f>
        <v>157614.5981355522</v>
      </c>
      <c r="AH119" s="10">
        <f t="shared" si="120"/>
        <v>172.06</v>
      </c>
      <c r="AI119" s="10">
        <f t="shared" si="121"/>
        <v>505.17</v>
      </c>
      <c r="AJ119" s="10">
        <f t="shared" si="134"/>
        <v>677.23</v>
      </c>
      <c r="AK119" s="10">
        <f t="shared" si="114"/>
        <v>2359.38</v>
      </c>
      <c r="AL119" s="10">
        <f>Podsumowanie!E$2-SUM(AN$5:AN118)+SUM(R$42:R119)-SUM(S$42:S119)</f>
        <v>347632.13</v>
      </c>
      <c r="AM119" s="10">
        <f t="shared" si="122"/>
        <v>379.5</v>
      </c>
      <c r="AN119" s="10">
        <f t="shared" si="123"/>
        <v>1114.21</v>
      </c>
      <c r="AO119" s="10">
        <f t="shared" si="124"/>
        <v>1493.71</v>
      </c>
      <c r="AP119" s="10">
        <f t="shared" si="125"/>
        <v>865.6700000000001</v>
      </c>
      <c r="AR119" s="43">
        <f t="shared" si="115"/>
        <v>40725</v>
      </c>
      <c r="AS119" s="11">
        <f>AS$5+SUM(AV$5:AV118)-SUM(X$5:X119)+SUM(W$5:W119)</f>
        <v>159108.94352298713</v>
      </c>
      <c r="AT119" s="10">
        <f t="shared" si="126"/>
        <v>-173.69393001259428</v>
      </c>
      <c r="AU119" s="10">
        <f>IF(AB119=1,IF(Q119="tak",AT119,PMT(M119/12,P119+1-SUM(AB$5:AB119),AS119)),0)</f>
        <v>-600.3931984713067</v>
      </c>
      <c r="AV119" s="10">
        <f t="shared" si="127"/>
        <v>-426.6992684587125</v>
      </c>
      <c r="AW119" s="10">
        <f t="shared" si="128"/>
        <v>-2030.7699545093478</v>
      </c>
      <c r="AY119" s="11">
        <f>AY$5+SUM(BA$5:BA118)+SUM(W$5:W118)-SUM(X$5:X118)</f>
        <v>152886.02719148563</v>
      </c>
      <c r="AZ119" s="11">
        <f t="shared" si="129"/>
        <v>-173.69393001259428</v>
      </c>
      <c r="BA119" s="11">
        <f t="shared" si="130"/>
        <v>-490.02</v>
      </c>
      <c r="BB119" s="11">
        <f t="shared" si="135"/>
        <v>-663.7139300125942</v>
      </c>
      <c r="BC119" s="11">
        <f t="shared" si="116"/>
        <v>-2244.9459968745987</v>
      </c>
      <c r="BE119" s="172">
        <f t="shared" si="87"/>
        <v>0.047</v>
      </c>
      <c r="BF119" s="44">
        <f>BE119+Podsumowanie!$E$6</f>
        <v>0.059</v>
      </c>
      <c r="BG119" s="11">
        <f>BG$5+SUM(BH$5:BH118)+SUM(R$5:R118)-SUM(S$5:S118)</f>
        <v>378825.5842833163</v>
      </c>
      <c r="BH119" s="10">
        <f t="shared" si="137"/>
        <v>-511.4107173059879</v>
      </c>
      <c r="BI119" s="10">
        <f t="shared" si="132"/>
        <v>-1862.5591227263048</v>
      </c>
      <c r="BJ119" s="10">
        <f>IF(U119&lt;0,PMT(BF119/12,Podsumowanie!E$8-SUM(AB$5:AB119)+1,BG119),0)</f>
        <v>-2373.9698400322927</v>
      </c>
      <c r="BL119" s="11">
        <f>BL$5+SUM(BN$5:BN118)+SUM(R$5:R118)-SUM(S$5:S118)</f>
        <v>347632.3119777158</v>
      </c>
      <c r="BM119" s="11">
        <f t="shared" si="88"/>
        <v>-1709.1922005571025</v>
      </c>
      <c r="BN119" s="11">
        <f t="shared" si="89"/>
        <v>-1114.2061281337046</v>
      </c>
      <c r="BO119" s="11">
        <f t="shared" si="90"/>
        <v>-2823.398328690807</v>
      </c>
      <c r="BQ119" s="44">
        <f t="shared" si="91"/>
        <v>0.0591</v>
      </c>
      <c r="BR119" s="11">
        <f>BR$5+SUM(BS$5:BS118)+SUM(R$5:R118)-SUM(S$5:S118)+SUM(BV$5:BV118)</f>
        <v>405922.7713541845</v>
      </c>
      <c r="BS119" s="10">
        <f t="shared" si="101"/>
        <v>-547.1081325826328</v>
      </c>
      <c r="BT119" s="10">
        <f t="shared" si="102"/>
        <v>-1999.1696489193585</v>
      </c>
      <c r="BU119" s="10">
        <f>IF(U119&lt;0,PMT(BQ119/12,Podsumowanie!E$8-SUM(AB$5:AB119)+1,BR119),0)</f>
        <v>-2546.2777815019913</v>
      </c>
      <c r="BV119" s="10">
        <f t="shared" si="96"/>
        <v>389.8931906312405</v>
      </c>
      <c r="BX119" s="11">
        <f>BX$5+SUM(BZ$5:BZ118)+SUM(R$5:R118)-SUM(S$5:S118)+SUM(CB$5,CB118)</f>
        <v>348212.33605963027</v>
      </c>
      <c r="BY119" s="10">
        <f t="shared" si="92"/>
        <v>-1714.9457550936793</v>
      </c>
      <c r="BZ119" s="10">
        <f t="shared" si="93"/>
        <v>-1116.0651796783022</v>
      </c>
      <c r="CA119" s="10">
        <f t="shared" si="103"/>
        <v>-2831.0109347719817</v>
      </c>
      <c r="CB119" s="10">
        <f t="shared" si="104"/>
        <v>674.6263439012309</v>
      </c>
      <c r="CD119" s="10">
        <f>CD$5+SUM(CE$5:CE118)+SUM(R$5:R118)-SUM(S$5:S118)-SUM(CF$5:CF118)</f>
        <v>399198.89330094564</v>
      </c>
      <c r="CE119" s="10">
        <f t="shared" si="97"/>
        <v>1714.9457550936793</v>
      </c>
      <c r="CF119" s="10">
        <f t="shared" si="98"/>
        <v>2156.384590870751</v>
      </c>
      <c r="CG119" s="10">
        <f t="shared" si="99"/>
        <v>441.4388357770715</v>
      </c>
      <c r="CI119" s="44">
        <v>0.5311</v>
      </c>
      <c r="CJ119" s="10">
        <f t="shared" si="100"/>
        <v>-1145.26</v>
      </c>
      <c r="CK119" s="4">
        <f t="shared" si="105"/>
        <v>0</v>
      </c>
      <c r="CM119" s="10">
        <f t="shared" si="106"/>
        <v>-92612.12605837313</v>
      </c>
      <c r="CN119" s="4">
        <f t="shared" si="107"/>
        <v>-362.73082706196146</v>
      </c>
    </row>
    <row r="120" spans="1:92" ht="15.75">
      <c r="A120" s="36"/>
      <c r="B120" s="37">
        <v>40756</v>
      </c>
      <c r="C120" s="77">
        <f t="shared" si="85"/>
        <v>3.6894</v>
      </c>
      <c r="D120" s="78">
        <f>C120*(1+Podsumowanie!E$11)</f>
        <v>3.800082</v>
      </c>
      <c r="E120" s="34">
        <f t="shared" si="117"/>
        <v>-618.9620602796977</v>
      </c>
      <c r="F120" s="7">
        <f t="shared" si="138"/>
        <v>-2352.106583951794</v>
      </c>
      <c r="G120" s="7">
        <f t="shared" si="118"/>
        <v>-1365.1740546840572</v>
      </c>
      <c r="H120" s="7">
        <f t="shared" si="139"/>
        <v>986.932529267737</v>
      </c>
      <c r="I120" s="32"/>
      <c r="J120" s="4" t="str">
        <f t="shared" si="113"/>
        <v xml:space="preserve"> </v>
      </c>
      <c r="K120" s="4">
        <f>IF(B120&lt;Podsumowanie!E$7,0,K119+1)</f>
        <v>50</v>
      </c>
      <c r="L120" s="100">
        <f t="shared" si="86"/>
        <v>0.0011</v>
      </c>
      <c r="M120" s="38">
        <f>L120+Podsumowanie!E$6</f>
        <v>0.0131</v>
      </c>
      <c r="N120" s="101">
        <f>MAX(Podsumowanie!E$4+SUM(AA$5:AA119)-SUM(X$5:X120)+SUM(W$5:W120),0)</f>
        <v>163589.94253044168</v>
      </c>
      <c r="O120" s="102">
        <f>MAX(Podsumowanie!E$2+SUM(V$5:V119)-SUM(S$5:S120)+SUM(R$5:R120),0)</f>
        <v>360811.6869859467</v>
      </c>
      <c r="P120" s="39">
        <f t="shared" si="133"/>
        <v>360</v>
      </c>
      <c r="Q120" s="40" t="str">
        <f>IF(AND(K120&gt;0,K120&lt;=Podsumowanie!E$9),"tak","nie")</f>
        <v>nie</v>
      </c>
      <c r="R120" s="41"/>
      <c r="S120" s="42"/>
      <c r="T120" s="88">
        <f t="shared" si="119"/>
        <v>-393.8860916263252</v>
      </c>
      <c r="U120" s="89">
        <f>IF(Q120="tak",T120,IF(P120-SUM(AB$5:AB120)+1&gt;0,IF(Podsumowanie!E$7&lt;B120,IF(SUM(AB$5:AB120)-Podsumowanie!E$9+1&gt;0,PMT(M120/12,P120+1-SUM(AB$5:AB120),O120),T120),0),0))</f>
        <v>-1365.1740546840572</v>
      </c>
      <c r="V120" s="89">
        <f t="shared" si="84"/>
        <v>-971.287963057732</v>
      </c>
      <c r="W120" s="90" t="str">
        <f>IF(R120&gt;0,R120/(C120*(1-Podsumowanie!E$11))," ")</f>
        <v xml:space="preserve"> </v>
      </c>
      <c r="X120" s="90">
        <f t="shared" si="94"/>
        <v>0</v>
      </c>
      <c r="Y120" s="91">
        <f t="shared" si="112"/>
        <v>-178.58568726239886</v>
      </c>
      <c r="Z120" s="90">
        <f>IF(P120-SUM(AB$5:AB120)+1&gt;0,IF(Podsumowanie!E$7&lt;B120,IF(SUM(AB$5:AB120)-Podsumowanie!E$9+1&gt;0,PMT(M120/12,P120+1-SUM(AB$5:AB120),N120),Y120),0),0)</f>
        <v>-618.9620602796977</v>
      </c>
      <c r="AA120" s="90">
        <f t="shared" si="136"/>
        <v>-440.37637301729876</v>
      </c>
      <c r="AB120" s="8">
        <f>IF(AND(Podsumowanie!E$7&lt;B120,SUM(AB$5:AB119)&lt;P119),1," ")</f>
        <v>1</v>
      </c>
      <c r="AD120" s="51">
        <f>IF(OR(B120&lt;Podsumowanie!E$12,Podsumowanie!E$12=""),-F120+S120,0)</f>
        <v>2352.106583951794</v>
      </c>
      <c r="AE120" s="51">
        <f t="shared" si="95"/>
        <v>0</v>
      </c>
      <c r="AG120" s="10">
        <f>Podsumowanie!E$4-SUM(AI$5:AI119)+SUM(W$42:W120)-SUM(X$42:X120)</f>
        <v>157109.4281355522</v>
      </c>
      <c r="AH120" s="10">
        <f t="shared" si="120"/>
        <v>171.51</v>
      </c>
      <c r="AI120" s="10">
        <f t="shared" si="121"/>
        <v>505.18</v>
      </c>
      <c r="AJ120" s="10">
        <f t="shared" si="134"/>
        <v>676.69</v>
      </c>
      <c r="AK120" s="10">
        <f t="shared" si="114"/>
        <v>2571.48</v>
      </c>
      <c r="AL120" s="10">
        <f>Podsumowanie!E$2-SUM(AN$5:AN119)+SUM(R$42:R120)-SUM(S$42:S120)</f>
        <v>346517.92000000004</v>
      </c>
      <c r="AM120" s="10">
        <f t="shared" si="122"/>
        <v>378.28</v>
      </c>
      <c r="AN120" s="10">
        <f t="shared" si="123"/>
        <v>1114.21</v>
      </c>
      <c r="AO120" s="10">
        <f t="shared" si="124"/>
        <v>1492.49</v>
      </c>
      <c r="AP120" s="10">
        <f t="shared" si="125"/>
        <v>1078.99</v>
      </c>
      <c r="AR120" s="43">
        <f t="shared" si="115"/>
        <v>40756</v>
      </c>
      <c r="AS120" s="11">
        <f>AS$5+SUM(AV$5:AV119)-SUM(X$5:X120)+SUM(W$5:W120)</f>
        <v>158682.24425452843</v>
      </c>
      <c r="AT120" s="10">
        <f t="shared" si="126"/>
        <v>-173.22811664452686</v>
      </c>
      <c r="AU120" s="10">
        <f>IF(AB120=1,IF(Q120="tak",AT120,PMT(M120/12,P120+1-SUM(AB$5:AB120),AS120)),0)</f>
        <v>-600.3931984713067</v>
      </c>
      <c r="AV120" s="10">
        <f t="shared" si="127"/>
        <v>-427.1650818267799</v>
      </c>
      <c r="AW120" s="10">
        <f t="shared" si="128"/>
        <v>-2215.090666440039</v>
      </c>
      <c r="AY120" s="11">
        <f>AY$5+SUM(BA$5:BA119)+SUM(W$5:W119)-SUM(X$5:X119)</f>
        <v>152396.0071914856</v>
      </c>
      <c r="AZ120" s="11">
        <f t="shared" si="129"/>
        <v>-173.22811664452686</v>
      </c>
      <c r="BA120" s="11">
        <f t="shared" si="130"/>
        <v>-490.02</v>
      </c>
      <c r="BB120" s="11">
        <f t="shared" si="135"/>
        <v>-663.2481166445268</v>
      </c>
      <c r="BC120" s="11">
        <f t="shared" si="116"/>
        <v>-2446.9876015483173</v>
      </c>
      <c r="BE120" s="172">
        <f t="shared" si="87"/>
        <v>0.0472</v>
      </c>
      <c r="BF120" s="44">
        <f>BE120+Podsumowanie!$E$6</f>
        <v>0.0592</v>
      </c>
      <c r="BG120" s="11">
        <f>BG$5+SUM(BH$5:BH119)+SUM(R$5:R119)-SUM(S$5:S119)</f>
        <v>378314.1735660103</v>
      </c>
      <c r="BH120" s="10">
        <f t="shared" si="137"/>
        <v>-512.2753254283045</v>
      </c>
      <c r="BI120" s="10">
        <f t="shared" si="132"/>
        <v>-1866.349922925651</v>
      </c>
      <c r="BJ120" s="10">
        <f>IF(U120&lt;0,PMT(BF120/12,Podsumowanie!E$8-SUM(AB$5:AB120)+1,BG120),0)</f>
        <v>-2378.6252483539556</v>
      </c>
      <c r="BL120" s="11">
        <f>BL$5+SUM(BN$5:BN119)+SUM(R$5:R119)-SUM(S$5:S119)</f>
        <v>346518.1058495821</v>
      </c>
      <c r="BM120" s="11">
        <f aca="true" t="shared" si="140" ref="BM120:BM183">IF(AB120=1,-BF120*BL120/12,0)</f>
        <v>-1709.4893221912719</v>
      </c>
      <c r="BN120" s="11">
        <f aca="true" t="shared" si="141" ref="BN120:BN183">IF(AB120=1,-BL120/(P120-K120+1),0)</f>
        <v>-1114.2061281337046</v>
      </c>
      <c r="BO120" s="11">
        <f aca="true" t="shared" si="142" ref="BO120:BO169">BN120+BM120</f>
        <v>-2823.6954503249763</v>
      </c>
      <c r="BQ120" s="44">
        <f t="shared" si="91"/>
        <v>0.0593</v>
      </c>
      <c r="BR120" s="11">
        <f>BR$5+SUM(BS$5:BS119)+SUM(R$5:R119)-SUM(S$5:S119)+SUM(BV$5:BV119)</f>
        <v>405765.5564122331</v>
      </c>
      <c r="BS120" s="10">
        <f t="shared" si="101"/>
        <v>-548.5642114816071</v>
      </c>
      <c r="BT120" s="10">
        <f t="shared" si="102"/>
        <v>-2005.1581246037852</v>
      </c>
      <c r="BU120" s="10">
        <f>IF(U120&lt;0,PMT(BQ120/12,Podsumowanie!E$8-SUM(AB$5:AB120)+1,BR120),0)</f>
        <v>-2553.7223360853923</v>
      </c>
      <c r="BV120" s="10">
        <f t="shared" si="96"/>
        <v>201.6157521335981</v>
      </c>
      <c r="BX120" s="11">
        <f>BX$5+SUM(BZ$5:BZ119)+SUM(R$5:R119)-SUM(S$5:S119)+SUM(CB$5,CB119)</f>
        <v>347051.35729848075</v>
      </c>
      <c r="BY120" s="10">
        <f t="shared" si="92"/>
        <v>-1715.0121239833259</v>
      </c>
      <c r="BZ120" s="10">
        <f t="shared" si="93"/>
        <v>-1115.920763017623</v>
      </c>
      <c r="CA120" s="10">
        <f t="shared" si="103"/>
        <v>-2830.9328870009485</v>
      </c>
      <c r="CB120" s="10">
        <f t="shared" si="104"/>
        <v>478.8263030491544</v>
      </c>
      <c r="CD120" s="10">
        <f>CD$5+SUM(CE$5:CE119)+SUM(R$5:R119)-SUM(S$5:S119)-SUM(CF$5:CF119)</f>
        <v>398757.4544651685</v>
      </c>
      <c r="CE120" s="10">
        <f t="shared" si="97"/>
        <v>1715.0121239833259</v>
      </c>
      <c r="CF120" s="10">
        <f t="shared" si="98"/>
        <v>2352.106583951794</v>
      </c>
      <c r="CG120" s="10">
        <f t="shared" si="99"/>
        <v>637.0944599684683</v>
      </c>
      <c r="CI120" s="44">
        <v>0.5357</v>
      </c>
      <c r="CJ120" s="10">
        <f t="shared" si="100"/>
        <v>-1260.02</v>
      </c>
      <c r="CK120" s="4">
        <f t="shared" si="105"/>
        <v>0</v>
      </c>
      <c r="CM120" s="10">
        <f t="shared" si="106"/>
        <v>-94964.23264232493</v>
      </c>
      <c r="CN120" s="4">
        <f t="shared" si="107"/>
        <v>-373.52598172647805</v>
      </c>
    </row>
    <row r="121" spans="1:92" ht="15.75">
      <c r="A121" s="36"/>
      <c r="B121" s="37">
        <v>40787</v>
      </c>
      <c r="C121" s="77">
        <f t="shared" si="85"/>
        <v>3.6193</v>
      </c>
      <c r="D121" s="78">
        <f>C121*(1+Podsumowanie!E$11)</f>
        <v>3.727879</v>
      </c>
      <c r="E121" s="34">
        <f t="shared" si="117"/>
        <v>-611.4055614577309</v>
      </c>
      <c r="F121" s="7">
        <f t="shared" si="138"/>
        <v>-2279.2459530414844</v>
      </c>
      <c r="G121" s="7">
        <f t="shared" si="118"/>
        <v>-1348.5075466733106</v>
      </c>
      <c r="H121" s="7">
        <f t="shared" si="139"/>
        <v>930.7384063681739</v>
      </c>
      <c r="I121" s="32"/>
      <c r="J121" s="4" t="str">
        <f t="shared" si="113"/>
        <v xml:space="preserve"> </v>
      </c>
      <c r="K121" s="4">
        <f>IF(B121&lt;Podsumowanie!E$7,0,K120+1)</f>
        <v>51</v>
      </c>
      <c r="L121" s="100">
        <f t="shared" si="86"/>
        <v>0.0001</v>
      </c>
      <c r="M121" s="38">
        <f>L121+Podsumowanie!E$6</f>
        <v>0.0121</v>
      </c>
      <c r="N121" s="101">
        <f>MAX(Podsumowanie!E$4+SUM(AA$5:AA120)-SUM(X$5:X121)+SUM(W$5:W121),0)</f>
        <v>163149.5661574244</v>
      </c>
      <c r="O121" s="102">
        <f>MAX(Podsumowanie!E$2+SUM(V$5:V120)-SUM(S$5:S121)+SUM(R$5:R121),0)</f>
        <v>359840.399022889</v>
      </c>
      <c r="P121" s="39">
        <f t="shared" si="133"/>
        <v>360</v>
      </c>
      <c r="Q121" s="40" t="str">
        <f>IF(AND(K121&gt;0,K121&lt;=Podsumowanie!E$9),"tak","nie")</f>
        <v>nie</v>
      </c>
      <c r="R121" s="41"/>
      <c r="S121" s="42"/>
      <c r="T121" s="88">
        <f t="shared" si="119"/>
        <v>-362.83906901474637</v>
      </c>
      <c r="U121" s="89">
        <f>IF(Q121="tak",T121,IF(P121-SUM(AB$5:AB121)+1&gt;0,IF(Podsumowanie!E$7&lt;B121,IF(SUM(AB$5:AB121)-Podsumowanie!E$9+1&gt;0,PMT(M121/12,P121+1-SUM(AB$5:AB121),O121),T121),0),0))</f>
        <v>-1348.5075466733106</v>
      </c>
      <c r="V121" s="89">
        <f aca="true" t="shared" si="143" ref="V121:V164">U121-T121</f>
        <v>-985.6684776585641</v>
      </c>
      <c r="W121" s="90" t="str">
        <f>IF(R121&gt;0,R121/(C121*(1-Podsumowanie!E$11))," ")</f>
        <v xml:space="preserve"> </v>
      </c>
      <c r="X121" s="90">
        <f t="shared" si="94"/>
        <v>0</v>
      </c>
      <c r="Y121" s="91">
        <f t="shared" si="112"/>
        <v>-164.50914587540294</v>
      </c>
      <c r="Z121" s="90">
        <f>IF(P121-SUM(AB$5:AB121)+1&gt;0,IF(Podsumowanie!E$7&lt;B121,IF(SUM(AB$5:AB121)-Podsumowanie!E$9+1&gt;0,PMT(M121/12,P121+1-SUM(AB$5:AB121),N121),Y121),0),0)</f>
        <v>-611.4055614577309</v>
      </c>
      <c r="AA121" s="90">
        <f t="shared" si="136"/>
        <v>-446.8964155823279</v>
      </c>
      <c r="AB121" s="8">
        <f>IF(AND(Podsumowanie!E$7&lt;B121,SUM(AB$5:AB120)&lt;P120),1," ")</f>
        <v>1</v>
      </c>
      <c r="AD121" s="51">
        <f>IF(OR(B121&lt;Podsumowanie!E$12,Podsumowanie!E$12=""),-F121+S121,0)</f>
        <v>2279.2459530414844</v>
      </c>
      <c r="AE121" s="51">
        <f t="shared" si="95"/>
        <v>0</v>
      </c>
      <c r="AG121" s="10">
        <f>Podsumowanie!E$4-SUM(AI$5:AI120)+SUM(W$42:W121)-SUM(X$42:X121)</f>
        <v>156604.24813555222</v>
      </c>
      <c r="AH121" s="10">
        <f t="shared" si="120"/>
        <v>157.91</v>
      </c>
      <c r="AI121" s="10">
        <f t="shared" si="121"/>
        <v>505.17</v>
      </c>
      <c r="AJ121" s="10">
        <f t="shared" si="134"/>
        <v>663.08</v>
      </c>
      <c r="AK121" s="10">
        <f t="shared" si="114"/>
        <v>2471.88</v>
      </c>
      <c r="AL121" s="10">
        <f>Podsumowanie!E$2-SUM(AN$5:AN120)+SUM(R$42:R121)-SUM(S$42:S121)</f>
        <v>345403.71</v>
      </c>
      <c r="AM121" s="10">
        <f t="shared" si="122"/>
        <v>348.28</v>
      </c>
      <c r="AN121" s="10">
        <f t="shared" si="123"/>
        <v>1114.21</v>
      </c>
      <c r="AO121" s="10">
        <f t="shared" si="124"/>
        <v>1462.49</v>
      </c>
      <c r="AP121" s="10">
        <f t="shared" si="125"/>
        <v>1009.3900000000001</v>
      </c>
      <c r="AR121" s="43">
        <f t="shared" si="115"/>
        <v>40787</v>
      </c>
      <c r="AS121" s="11">
        <f>AS$5+SUM(AV$5:AV120)-SUM(X$5:X121)+SUM(W$5:W121)</f>
        <v>158255.07917270163</v>
      </c>
      <c r="AT121" s="10">
        <f t="shared" si="126"/>
        <v>-159.5738714991408</v>
      </c>
      <c r="AU121" s="10">
        <f>IF(AB121=1,IF(Q121="tak",AT121,PMT(M121/12,P121+1-SUM(AB$5:AB121),AS121)),0)</f>
        <v>-593.0633946139989</v>
      </c>
      <c r="AV121" s="10">
        <f t="shared" si="127"/>
        <v>-433.48952311485806</v>
      </c>
      <c r="AW121" s="10">
        <f t="shared" si="128"/>
        <v>-2146.474344126446</v>
      </c>
      <c r="AY121" s="11">
        <f>AY$5+SUM(BA$5:BA120)+SUM(W$5:W120)-SUM(X$5:X120)</f>
        <v>151905.98719148562</v>
      </c>
      <c r="AZ121" s="11">
        <f t="shared" si="129"/>
        <v>-159.5738714991408</v>
      </c>
      <c r="BA121" s="11">
        <f t="shared" si="130"/>
        <v>-490.02</v>
      </c>
      <c r="BB121" s="11">
        <f t="shared" si="135"/>
        <v>-649.5938714991407</v>
      </c>
      <c r="BC121" s="11">
        <f t="shared" si="116"/>
        <v>-2351.07509911684</v>
      </c>
      <c r="BE121" s="172">
        <f t="shared" si="87"/>
        <v>0.0475</v>
      </c>
      <c r="BF121" s="44">
        <f>BE121+Podsumowanie!$E$6</f>
        <v>0.0595</v>
      </c>
      <c r="BG121" s="11">
        <f>BG$5+SUM(BH$5:BH120)+SUM(R$5:R120)-SUM(S$5:S120)</f>
        <v>377801.89824058197</v>
      </c>
      <c r="BH121" s="10">
        <f t="shared" si="137"/>
        <v>-512.3331132710357</v>
      </c>
      <c r="BI121" s="10">
        <f t="shared" si="132"/>
        <v>-1873.2677454428856</v>
      </c>
      <c r="BJ121" s="10">
        <f>IF(U121&lt;0,PMT(BF121/12,Podsumowanie!E$8-SUM(AB$5:AB121)+1,BG121),0)</f>
        <v>-2385.6008587139213</v>
      </c>
      <c r="BL121" s="11">
        <f>BL$5+SUM(BN$5:BN120)+SUM(R$5:R120)-SUM(S$5:S120)</f>
        <v>345403.8997214484</v>
      </c>
      <c r="BM121" s="11">
        <f t="shared" si="140"/>
        <v>-1712.6276694521819</v>
      </c>
      <c r="BN121" s="11">
        <f t="shared" si="141"/>
        <v>-1114.2061281337046</v>
      </c>
      <c r="BO121" s="11">
        <f t="shared" si="142"/>
        <v>-2826.8337975858867</v>
      </c>
      <c r="BQ121" s="44">
        <f t="shared" si="91"/>
        <v>0.0596</v>
      </c>
      <c r="BR121" s="11">
        <f>BR$5+SUM(BS$5:BS120)+SUM(R$5:R120)-SUM(S$5:S120)+SUM(BV$5:BV120)</f>
        <v>405418.6079528851</v>
      </c>
      <c r="BS121" s="10">
        <f t="shared" si="101"/>
        <v>-548.9028211644497</v>
      </c>
      <c r="BT121" s="10">
        <f t="shared" si="102"/>
        <v>-2013.579086165996</v>
      </c>
      <c r="BU121" s="10">
        <f>IF(U121&lt;0,PMT(BQ121/12,Podsumowanie!E$8-SUM(AB$5:AB121)+1,BR121),0)</f>
        <v>-2562.4819073304457</v>
      </c>
      <c r="BV121" s="10">
        <f t="shared" si="96"/>
        <v>283.23595428896124</v>
      </c>
      <c r="BX121" s="11">
        <f>BX$5+SUM(BZ$5:BZ120)+SUM(R$5:R120)-SUM(S$5:S120)+SUM(CB$5,CB120)</f>
        <v>345739.6364946111</v>
      </c>
      <c r="BY121" s="10">
        <f t="shared" si="92"/>
        <v>-1717.1735279232353</v>
      </c>
      <c r="BZ121" s="10">
        <f t="shared" si="93"/>
        <v>-1115.2891499826164</v>
      </c>
      <c r="CA121" s="10">
        <f t="shared" si="103"/>
        <v>-2832.4626779058517</v>
      </c>
      <c r="CB121" s="10">
        <f t="shared" si="104"/>
        <v>553.2167248643673</v>
      </c>
      <c r="CD121" s="10">
        <f>CD$5+SUM(CE$5:CE120)+SUM(R$5:R120)-SUM(S$5:S120)-SUM(CF$5:CF120)</f>
        <v>398120.3600052001</v>
      </c>
      <c r="CE121" s="10">
        <f t="shared" si="97"/>
        <v>1717.1735279232353</v>
      </c>
      <c r="CF121" s="10">
        <f t="shared" si="98"/>
        <v>2279.2459530414844</v>
      </c>
      <c r="CG121" s="10">
        <f t="shared" si="99"/>
        <v>562.0724251182492</v>
      </c>
      <c r="CI121" s="44">
        <v>0.5357</v>
      </c>
      <c r="CJ121" s="10">
        <f t="shared" si="100"/>
        <v>-1220.99</v>
      </c>
      <c r="CK121" s="4">
        <f t="shared" si="105"/>
        <v>0</v>
      </c>
      <c r="CM121" s="10">
        <f t="shared" si="106"/>
        <v>-97243.47859536641</v>
      </c>
      <c r="CN121" s="4">
        <f t="shared" si="107"/>
        <v>-384.9221027733254</v>
      </c>
    </row>
    <row r="122" spans="1:92" ht="15.75">
      <c r="A122" s="36"/>
      <c r="B122" s="37">
        <v>40817</v>
      </c>
      <c r="C122" s="77">
        <f t="shared" si="85"/>
        <v>3.5441</v>
      </c>
      <c r="D122" s="78">
        <f>C122*(1+Podsumowanie!E$11)</f>
        <v>3.650423</v>
      </c>
      <c r="E122" s="34">
        <f t="shared" si="117"/>
        <v>-611.4055614577309</v>
      </c>
      <c r="F122" s="7">
        <f t="shared" si="138"/>
        <v>-2231.8889238732145</v>
      </c>
      <c r="G122" s="7">
        <f t="shared" si="118"/>
        <v>-1348.5075466733108</v>
      </c>
      <c r="H122" s="7">
        <f t="shared" si="139"/>
        <v>883.3813771999037</v>
      </c>
      <c r="I122" s="32"/>
      <c r="J122" s="4" t="str">
        <f t="shared" si="113"/>
        <v xml:space="preserve"> </v>
      </c>
      <c r="K122" s="4">
        <f>IF(B122&lt;Podsumowanie!E$7,0,K121+1)</f>
        <v>52</v>
      </c>
      <c r="L122" s="100">
        <f t="shared" si="86"/>
        <v>0.0001</v>
      </c>
      <c r="M122" s="38">
        <f>L122+Podsumowanie!E$6</f>
        <v>0.0121</v>
      </c>
      <c r="N122" s="101">
        <f>MAX(Podsumowanie!E$4+SUM(AA$5:AA121)-SUM(X$5:X122)+SUM(W$5:W122),0)</f>
        <v>162702.66974184205</v>
      </c>
      <c r="O122" s="102">
        <f>MAX(Podsumowanie!E$2+SUM(V$5:V121)-SUM(S$5:S122)+SUM(R$5:R122),0)</f>
        <v>358854.73054523044</v>
      </c>
      <c r="P122" s="39">
        <f t="shared" si="133"/>
        <v>360</v>
      </c>
      <c r="Q122" s="40" t="str">
        <f>IF(AND(K122&gt;0,K122&lt;=Podsumowanie!E$9),"tak","nie")</f>
        <v>nie</v>
      </c>
      <c r="R122" s="41"/>
      <c r="S122" s="42"/>
      <c r="T122" s="88">
        <f t="shared" si="119"/>
        <v>-361.8451866331074</v>
      </c>
      <c r="U122" s="89">
        <f>IF(Q122="tak",T122,IF(P122-SUM(AB$5:AB122)+1&gt;0,IF(Podsumowanie!E$7&lt;B122,IF(SUM(AB$5:AB122)-Podsumowanie!E$9+1&gt;0,PMT(M122/12,P122+1-SUM(AB$5:AB122),O122),T122),0),0))</f>
        <v>-1348.5075466733108</v>
      </c>
      <c r="V122" s="89">
        <f t="shared" si="143"/>
        <v>-986.6623600402033</v>
      </c>
      <c r="W122" s="90" t="str">
        <f>IF(R122&gt;0,R122/(C122*(1-Podsumowanie!E$11))," ")</f>
        <v xml:space="preserve"> </v>
      </c>
      <c r="X122" s="90">
        <f t="shared" si="94"/>
        <v>0</v>
      </c>
      <c r="Y122" s="91">
        <f t="shared" si="112"/>
        <v>-164.05852532302407</v>
      </c>
      <c r="Z122" s="90">
        <f>IF(P122-SUM(AB$5:AB122)+1&gt;0,IF(Podsumowanie!E$7&lt;B122,IF(SUM(AB$5:AB122)-Podsumowanie!E$9+1&gt;0,PMT(M122/12,P122+1-SUM(AB$5:AB122),N122),Y122),0),0)</f>
        <v>-611.4055614577309</v>
      </c>
      <c r="AA122" s="90">
        <f t="shared" si="136"/>
        <v>-447.3470361347068</v>
      </c>
      <c r="AB122" s="8">
        <f>IF(AND(Podsumowanie!E$7&lt;B122,SUM(AB$5:AB121)&lt;P121),1," ")</f>
        <v>1</v>
      </c>
      <c r="AD122" s="51">
        <f>IF(OR(B122&lt;Podsumowanie!E$12,Podsumowanie!E$12=""),-F122+S122,0)</f>
        <v>2231.8889238732145</v>
      </c>
      <c r="AE122" s="51">
        <f t="shared" si="95"/>
        <v>0</v>
      </c>
      <c r="AG122" s="10">
        <f>Podsumowanie!E$4-SUM(AI$5:AI121)+SUM(W$42:W122)-SUM(X$42:X122)</f>
        <v>156099.0781355522</v>
      </c>
      <c r="AH122" s="10">
        <f t="shared" si="120"/>
        <v>157.4</v>
      </c>
      <c r="AI122" s="10">
        <f t="shared" si="121"/>
        <v>505.18</v>
      </c>
      <c r="AJ122" s="10">
        <f t="shared" si="134"/>
        <v>662.58</v>
      </c>
      <c r="AK122" s="10">
        <f t="shared" si="114"/>
        <v>2418.7</v>
      </c>
      <c r="AL122" s="10">
        <f>Podsumowanie!E$2-SUM(AN$5:AN121)+SUM(R$42:R122)-SUM(S$42:S122)</f>
        <v>344289.50000000006</v>
      </c>
      <c r="AM122" s="10">
        <f t="shared" si="122"/>
        <v>347.16</v>
      </c>
      <c r="AN122" s="10">
        <f t="shared" si="123"/>
        <v>1114.21</v>
      </c>
      <c r="AO122" s="10">
        <f t="shared" si="124"/>
        <v>1461.3700000000001</v>
      </c>
      <c r="AP122" s="10">
        <f t="shared" si="125"/>
        <v>957.3299999999997</v>
      </c>
      <c r="AR122" s="43">
        <f t="shared" si="115"/>
        <v>40817</v>
      </c>
      <c r="AS122" s="11">
        <f>AS$5+SUM(AV$5:AV121)-SUM(X$5:X122)+SUM(W$5:W122)</f>
        <v>157821.5896495868</v>
      </c>
      <c r="AT122" s="10">
        <f t="shared" si="126"/>
        <v>-159.13676956333333</v>
      </c>
      <c r="AU122" s="10">
        <f>IF(AB122=1,IF(Q122="tak",AT122,PMT(M122/12,P122+1-SUM(AB$5:AB122),AS122)),0)</f>
        <v>-593.063394613999</v>
      </c>
      <c r="AV122" s="10">
        <f t="shared" si="127"/>
        <v>-433.9266250506656</v>
      </c>
      <c r="AW122" s="10">
        <f t="shared" si="128"/>
        <v>-2101.8759768514738</v>
      </c>
      <c r="AY122" s="11">
        <f>AY$5+SUM(BA$5:BA121)+SUM(W$5:W121)-SUM(X$5:X121)</f>
        <v>151415.9671914856</v>
      </c>
      <c r="AZ122" s="11">
        <f t="shared" si="129"/>
        <v>-159.13676956333333</v>
      </c>
      <c r="BA122" s="11">
        <f t="shared" si="130"/>
        <v>-490.02</v>
      </c>
      <c r="BB122" s="11">
        <f t="shared" si="135"/>
        <v>-649.1567695633333</v>
      </c>
      <c r="BC122" s="11">
        <f t="shared" si="116"/>
        <v>-2300.6765070094098</v>
      </c>
      <c r="BE122" s="172">
        <f t="shared" si="87"/>
        <v>0.048</v>
      </c>
      <c r="BF122" s="44">
        <f>BE122+Podsumowanie!$E$6</f>
        <v>0.06</v>
      </c>
      <c r="BG122" s="11">
        <f>BG$5+SUM(BH$5:BH121)+SUM(R$5:R121)-SUM(S$5:S121)</f>
        <v>377289.5651273109</v>
      </c>
      <c r="BH122" s="10">
        <f t="shared" si="137"/>
        <v>-510.7744429542149</v>
      </c>
      <c r="BI122" s="10">
        <f t="shared" si="132"/>
        <v>-1886.4478256365546</v>
      </c>
      <c r="BJ122" s="10">
        <f>IF(U122&lt;0,PMT(BF122/12,Podsumowanie!E$8-SUM(AB$5:AB122)+1,BG122),0)</f>
        <v>-2397.2222685907695</v>
      </c>
      <c r="BL122" s="11">
        <f>BL$5+SUM(BN$5:BN121)+SUM(R$5:R121)-SUM(S$5:S121)</f>
        <v>344289.69359331473</v>
      </c>
      <c r="BM122" s="11">
        <f t="shared" si="140"/>
        <v>-1721.4484679665736</v>
      </c>
      <c r="BN122" s="11">
        <f t="shared" si="141"/>
        <v>-1114.2061281337046</v>
      </c>
      <c r="BO122" s="11">
        <f t="shared" si="142"/>
        <v>-2835.6545961002785</v>
      </c>
      <c r="BQ122" s="44">
        <f t="shared" si="91"/>
        <v>0.0601</v>
      </c>
      <c r="BR122" s="11">
        <f>BR$5+SUM(BS$5:BS121)+SUM(R$5:R121)-SUM(S$5:S121)+SUM(BV$5:BV121)</f>
        <v>405152.9410860096</v>
      </c>
      <c r="BS122" s="10">
        <f t="shared" si="101"/>
        <v>-547.6189573133818</v>
      </c>
      <c r="BT122" s="10">
        <f t="shared" si="102"/>
        <v>-2029.1409799390983</v>
      </c>
      <c r="BU122" s="10">
        <f>IF(U122&lt;0,PMT(BQ122/12,Podsumowanie!E$8-SUM(AB$5:AB122)+1,BR122),0)</f>
        <v>-2576.75993725248</v>
      </c>
      <c r="BV122" s="10">
        <f t="shared" si="96"/>
        <v>344.8710133792656</v>
      </c>
      <c r="BX122" s="11">
        <f>BX$5+SUM(BZ$5:BZ121)+SUM(R$5:R121)-SUM(S$5:S121)+SUM(CB$5,CB121)</f>
        <v>344698.7377664437</v>
      </c>
      <c r="BY122" s="10">
        <f t="shared" si="92"/>
        <v>-1726.3661783136056</v>
      </c>
      <c r="BZ122" s="10">
        <f t="shared" si="93"/>
        <v>-1115.5298956842837</v>
      </c>
      <c r="CA122" s="10">
        <f t="shared" si="103"/>
        <v>-2841.8960739978893</v>
      </c>
      <c r="CB122" s="10">
        <f t="shared" si="104"/>
        <v>610.0071501246748</v>
      </c>
      <c r="CD122" s="10">
        <f>CD$5+SUM(CE$5:CE121)+SUM(R$5:R121)-SUM(S$5:S121)-SUM(CF$5:CF121)</f>
        <v>397558.28758008184</v>
      </c>
      <c r="CE122" s="10">
        <f t="shared" si="97"/>
        <v>1726.3661783136056</v>
      </c>
      <c r="CF122" s="10">
        <f t="shared" si="98"/>
        <v>2231.8889238732145</v>
      </c>
      <c r="CG122" s="10">
        <f t="shared" si="99"/>
        <v>505.5227455596089</v>
      </c>
      <c r="CI122" s="44">
        <v>0.5342</v>
      </c>
      <c r="CJ122" s="10">
        <f t="shared" si="100"/>
        <v>-1192.28</v>
      </c>
      <c r="CK122" s="4">
        <f t="shared" si="105"/>
        <v>0</v>
      </c>
      <c r="CM122" s="10">
        <f t="shared" si="106"/>
        <v>-99475.36751923962</v>
      </c>
      <c r="CN122" s="4">
        <f t="shared" si="107"/>
        <v>-397.9014700769585</v>
      </c>
    </row>
    <row r="123" spans="1:92" ht="15.75">
      <c r="A123" s="36"/>
      <c r="B123" s="37">
        <v>40848</v>
      </c>
      <c r="C123" s="77">
        <f t="shared" si="85"/>
        <v>3.5934</v>
      </c>
      <c r="D123" s="78">
        <f>C123*(1+Podsumowanie!E$11)</f>
        <v>3.701202</v>
      </c>
      <c r="E123" s="34">
        <f t="shared" si="117"/>
        <v>-611.4055614577308</v>
      </c>
      <c r="F123" s="7">
        <f t="shared" si="138"/>
        <v>-2262.935486878476</v>
      </c>
      <c r="G123" s="7">
        <f t="shared" si="118"/>
        <v>-1348.5075466733103</v>
      </c>
      <c r="H123" s="7">
        <f t="shared" si="139"/>
        <v>914.4279402051654</v>
      </c>
      <c r="I123" s="32"/>
      <c r="J123" s="4" t="str">
        <f t="shared" si="113"/>
        <v xml:space="preserve"> </v>
      </c>
      <c r="K123" s="4">
        <f>IF(B123&lt;Podsumowanie!E$7,0,K122+1)</f>
        <v>53</v>
      </c>
      <c r="L123" s="100">
        <f t="shared" si="86"/>
        <v>0.0001</v>
      </c>
      <c r="M123" s="38">
        <f>L123+Podsumowanie!E$6</f>
        <v>0.0121</v>
      </c>
      <c r="N123" s="101">
        <f>MAX(Podsumowanie!E$4+SUM(AA$5:AA122)-SUM(X$5:X123)+SUM(W$5:W123),0)</f>
        <v>162255.32270570734</v>
      </c>
      <c r="O123" s="102">
        <f>MAX(Podsumowanie!E$2+SUM(V$5:V122)-SUM(S$5:S123)+SUM(R$5:R123),0)</f>
        <v>357868.0681851902</v>
      </c>
      <c r="P123" s="39">
        <f t="shared" si="133"/>
        <v>360</v>
      </c>
      <c r="Q123" s="40" t="str">
        <f>IF(AND(K123&gt;0,K123&lt;=Podsumowanie!E$9),"tak","nie")</f>
        <v>nie</v>
      </c>
      <c r="R123" s="41"/>
      <c r="S123" s="42"/>
      <c r="T123" s="88">
        <f t="shared" si="119"/>
        <v>-360.8503020867334</v>
      </c>
      <c r="U123" s="89">
        <f>IF(Q123="tak",T123,IF(P123-SUM(AB$5:AB123)+1&gt;0,IF(Podsumowanie!E$7&lt;B123,IF(SUM(AB$5:AB123)-Podsumowanie!E$9+1&gt;0,PMT(M123/12,P123+1-SUM(AB$5:AB123),O123),T123),0),0))</f>
        <v>-1348.5075466733103</v>
      </c>
      <c r="V123" s="89">
        <f t="shared" si="143"/>
        <v>-987.657244586577</v>
      </c>
      <c r="W123" s="90" t="str">
        <f>IF(R123&gt;0,R123/(C123*(1-Podsumowanie!E$11))," ")</f>
        <v xml:space="preserve"> </v>
      </c>
      <c r="X123" s="90">
        <f t="shared" si="94"/>
        <v>0</v>
      </c>
      <c r="Y123" s="91">
        <f t="shared" si="112"/>
        <v>-163.60745039492156</v>
      </c>
      <c r="Z123" s="90">
        <f>IF(P123-SUM(AB$5:AB123)+1&gt;0,IF(Podsumowanie!E$7&lt;B123,IF(SUM(AB$5:AB123)-Podsumowanie!E$9+1&gt;0,PMT(M123/12,P123+1-SUM(AB$5:AB123),N123),Y123),0),0)</f>
        <v>-611.4055614577308</v>
      </c>
      <c r="AA123" s="90">
        <f t="shared" si="136"/>
        <v>-447.7981110628092</v>
      </c>
      <c r="AB123" s="8">
        <f>IF(AND(Podsumowanie!E$7&lt;B123,SUM(AB$5:AB122)&lt;P122),1," ")</f>
        <v>1</v>
      </c>
      <c r="AD123" s="51">
        <f>IF(OR(B123&lt;Podsumowanie!E$12,Podsumowanie!E$12=""),-F123+S123,0)</f>
        <v>2262.935486878476</v>
      </c>
      <c r="AE123" s="51">
        <f t="shared" si="95"/>
        <v>0</v>
      </c>
      <c r="AG123" s="10">
        <f>Podsumowanie!E$4-SUM(AI$5:AI122)+SUM(W$42:W123)-SUM(X$42:X123)</f>
        <v>155593.8981355522</v>
      </c>
      <c r="AH123" s="10">
        <f t="shared" si="120"/>
        <v>156.89</v>
      </c>
      <c r="AI123" s="10">
        <f t="shared" si="121"/>
        <v>505.17</v>
      </c>
      <c r="AJ123" s="10">
        <f t="shared" si="134"/>
        <v>662.06</v>
      </c>
      <c r="AK123" s="10">
        <f t="shared" si="114"/>
        <v>2450.42</v>
      </c>
      <c r="AL123" s="10">
        <f>Podsumowanie!E$2-SUM(AN$5:AN122)+SUM(R$42:R123)-SUM(S$42:S123)</f>
        <v>343175.29000000004</v>
      </c>
      <c r="AM123" s="10">
        <f t="shared" si="122"/>
        <v>346.04</v>
      </c>
      <c r="AN123" s="10">
        <f t="shared" si="123"/>
        <v>1114.21</v>
      </c>
      <c r="AO123" s="10">
        <f t="shared" si="124"/>
        <v>1460.25</v>
      </c>
      <c r="AP123" s="10">
        <f t="shared" si="125"/>
        <v>990.1700000000001</v>
      </c>
      <c r="AR123" s="43">
        <f t="shared" si="115"/>
        <v>40848</v>
      </c>
      <c r="AS123" s="11">
        <f>AS$5+SUM(AV$5:AV122)-SUM(X$5:X123)+SUM(W$5:W123)</f>
        <v>157387.66302453613</v>
      </c>
      <c r="AT123" s="10">
        <f t="shared" si="126"/>
        <v>-158.69922688307392</v>
      </c>
      <c r="AU123" s="10">
        <f>IF(AB123=1,IF(Q123="tak",AT123,PMT(M123/12,P123+1-SUM(AB$5:AB123),AS123)),0)</f>
        <v>-593.0633946139989</v>
      </c>
      <c r="AV123" s="10">
        <f t="shared" si="127"/>
        <v>-434.3641677309249</v>
      </c>
      <c r="AW123" s="10">
        <f t="shared" si="128"/>
        <v>-2131.1140022059435</v>
      </c>
      <c r="AY123" s="11">
        <f>AY$5+SUM(BA$5:BA122)+SUM(W$5:W122)-SUM(X$5:X122)</f>
        <v>150925.9471914856</v>
      </c>
      <c r="AZ123" s="11">
        <f t="shared" si="129"/>
        <v>-158.69922688307392</v>
      </c>
      <c r="BA123" s="11">
        <f t="shared" si="130"/>
        <v>-490.02</v>
      </c>
      <c r="BB123" s="11">
        <f t="shared" si="135"/>
        <v>-648.7192268830739</v>
      </c>
      <c r="BC123" s="11">
        <f t="shared" si="116"/>
        <v>-2331.107669881638</v>
      </c>
      <c r="BE123" s="172">
        <f t="shared" si="87"/>
        <v>0.0494</v>
      </c>
      <c r="BF123" s="44">
        <f>BE123+Podsumowanie!$E$6</f>
        <v>0.061399999999999996</v>
      </c>
      <c r="BG123" s="11">
        <f>BG$5+SUM(BH$5:BH122)+SUM(R$5:R122)-SUM(S$5:S122)</f>
        <v>376778.7906843567</v>
      </c>
      <c r="BH123" s="10">
        <f t="shared" si="137"/>
        <v>-501.97874327639624</v>
      </c>
      <c r="BI123" s="10">
        <f t="shared" si="132"/>
        <v>-1927.851479001625</v>
      </c>
      <c r="BJ123" s="10">
        <f>IF(U123&lt;0,PMT(BF123/12,Podsumowanie!E$8-SUM(AB$5:AB123)+1,BG123),0)</f>
        <v>-2429.830222278021</v>
      </c>
      <c r="BL123" s="11">
        <f>BL$5+SUM(BN$5:BN122)+SUM(R$5:R122)-SUM(S$5:S122)</f>
        <v>343175.48746518104</v>
      </c>
      <c r="BM123" s="11">
        <f t="shared" si="140"/>
        <v>-1755.914577530176</v>
      </c>
      <c r="BN123" s="11">
        <f t="shared" si="141"/>
        <v>-1114.2061281337046</v>
      </c>
      <c r="BO123" s="11">
        <f t="shared" si="142"/>
        <v>-2870.1207056638805</v>
      </c>
      <c r="BQ123" s="44">
        <f t="shared" si="91"/>
        <v>0.0615</v>
      </c>
      <c r="BR123" s="11">
        <f>BR$5+SUM(BS$5:BS122)+SUM(R$5:R122)-SUM(S$5:S122)+SUM(BV$5:BV122)</f>
        <v>404950.19314207556</v>
      </c>
      <c r="BS123" s="10">
        <f t="shared" si="101"/>
        <v>-538.6484148478207</v>
      </c>
      <c r="BT123" s="10">
        <f t="shared" si="102"/>
        <v>-2075.369739853137</v>
      </c>
      <c r="BU123" s="10">
        <f>IF(U123&lt;0,PMT(BQ123/12,Podsumowanie!E$8-SUM(AB$5:AB123)+1,BR123),0)</f>
        <v>-2614.018154700958</v>
      </c>
      <c r="BV123" s="10">
        <f t="shared" si="96"/>
        <v>351.0826678224821</v>
      </c>
      <c r="BX123" s="11">
        <f>BX$5+SUM(BZ$5:BZ122)+SUM(R$5:R122)-SUM(S$5:S122)+SUM(CB$5,CB122)</f>
        <v>343639.99829601974</v>
      </c>
      <c r="BY123" s="10">
        <f t="shared" si="92"/>
        <v>-1761.154991267101</v>
      </c>
      <c r="BZ123" s="10">
        <f t="shared" si="93"/>
        <v>-1115.7142801818823</v>
      </c>
      <c r="CA123" s="10">
        <f t="shared" si="103"/>
        <v>-2876.8692714489835</v>
      </c>
      <c r="CB123" s="10">
        <f t="shared" si="104"/>
        <v>613.9337845705077</v>
      </c>
      <c r="CD123" s="10">
        <f>CD$5+SUM(CE$5:CE122)+SUM(R$5:R122)-SUM(S$5:S122)-SUM(CF$5:CF122)</f>
        <v>397052.7648345222</v>
      </c>
      <c r="CE123" s="10">
        <f t="shared" si="97"/>
        <v>1761.154991267101</v>
      </c>
      <c r="CF123" s="10">
        <f t="shared" si="98"/>
        <v>2262.935486878476</v>
      </c>
      <c r="CG123" s="10">
        <f t="shared" si="99"/>
        <v>501.7804956113748</v>
      </c>
      <c r="CI123" s="44">
        <v>0.5236</v>
      </c>
      <c r="CJ123" s="10">
        <f t="shared" si="100"/>
        <v>-1184.87</v>
      </c>
      <c r="CK123" s="4">
        <f t="shared" si="105"/>
        <v>0</v>
      </c>
      <c r="CM123" s="10">
        <f t="shared" si="106"/>
        <v>-101738.30300611809</v>
      </c>
      <c r="CN123" s="4">
        <f t="shared" si="107"/>
        <v>-418.8226807085195</v>
      </c>
    </row>
    <row r="124" spans="1:92" ht="15.75">
      <c r="A124" s="36"/>
      <c r="B124" s="37">
        <v>40878</v>
      </c>
      <c r="C124" s="77">
        <f t="shared" si="85"/>
        <v>3.6468</v>
      </c>
      <c r="D124" s="78">
        <f>C124*(1+Podsumowanie!E$11)</f>
        <v>3.756204</v>
      </c>
      <c r="E124" s="34">
        <f t="shared" si="117"/>
        <v>-611.4055614577309</v>
      </c>
      <c r="F124" s="7">
        <f t="shared" si="138"/>
        <v>-2296.5640155697743</v>
      </c>
      <c r="G124" s="7">
        <f t="shared" si="118"/>
        <v>-1348.5075466733106</v>
      </c>
      <c r="H124" s="7">
        <f t="shared" si="139"/>
        <v>948.0564688964637</v>
      </c>
      <c r="I124" s="32"/>
      <c r="J124" s="4" t="str">
        <f t="shared" si="113"/>
        <v xml:space="preserve"> </v>
      </c>
      <c r="K124" s="4">
        <f>IF(B124&lt;Podsumowanie!E$7,0,K123+1)</f>
        <v>54</v>
      </c>
      <c r="L124" s="100">
        <f t="shared" si="86"/>
        <v>0.0001</v>
      </c>
      <c r="M124" s="38">
        <f>L124+Podsumowanie!E$6</f>
        <v>0.0121</v>
      </c>
      <c r="N124" s="101">
        <f>MAX(Podsumowanie!E$4+SUM(AA$5:AA123)-SUM(X$5:X124)+SUM(W$5:W124),0)</f>
        <v>161807.52459464455</v>
      </c>
      <c r="O124" s="102">
        <f>MAX(Podsumowanie!E$2+SUM(V$5:V123)-SUM(S$5:S124)+SUM(R$5:R124),0)</f>
        <v>356880.41094060364</v>
      </c>
      <c r="P124" s="39">
        <f t="shared" si="133"/>
        <v>360</v>
      </c>
      <c r="Q124" s="40" t="str">
        <f>IF(AND(K124&gt;0,K124&lt;=Podsumowanie!E$9),"tak","nie")</f>
        <v>nie</v>
      </c>
      <c r="R124" s="41"/>
      <c r="S124" s="42"/>
      <c r="T124" s="88">
        <f t="shared" si="119"/>
        <v>-359.85441436510865</v>
      </c>
      <c r="U124" s="89">
        <f>IF(Q124="tak",T124,IF(P124-SUM(AB$5:AB124)+1&gt;0,IF(Podsumowanie!E$7&lt;B124,IF(SUM(AB$5:AB124)-Podsumowanie!E$9+1&gt;0,PMT(M124/12,P124+1-SUM(AB$5:AB124),O124),T124),0),0))</f>
        <v>-1348.5075466733106</v>
      </c>
      <c r="V124" s="89">
        <f t="shared" si="143"/>
        <v>-988.653132308202</v>
      </c>
      <c r="W124" s="90" t="str">
        <f>IF(R124&gt;0,R124/(C124*(1-Podsumowanie!E$11))," ")</f>
        <v xml:space="preserve"> </v>
      </c>
      <c r="X124" s="90">
        <f t="shared" si="94"/>
        <v>0</v>
      </c>
      <c r="Y124" s="91">
        <f t="shared" si="112"/>
        <v>-163.15592063293323</v>
      </c>
      <c r="Z124" s="90">
        <f>IF(P124-SUM(AB$5:AB124)+1&gt;0,IF(Podsumowanie!E$7&lt;B124,IF(SUM(AB$5:AB124)-Podsumowanie!E$9+1&gt;0,PMT(M124/12,P124+1-SUM(AB$5:AB124),N124),Y124),0),0)</f>
        <v>-611.4055614577309</v>
      </c>
      <c r="AA124" s="90">
        <f t="shared" si="136"/>
        <v>-448.24964082479767</v>
      </c>
      <c r="AB124" s="8">
        <f>IF(AND(Podsumowanie!E$7&lt;B124,SUM(AB$5:AB123)&lt;P123),1," ")</f>
        <v>1</v>
      </c>
      <c r="AD124" s="51">
        <f>IF(OR(B124&lt;Podsumowanie!E$12,Podsumowanie!E$12=""),-F124+S124,0)</f>
        <v>2296.5640155697743</v>
      </c>
      <c r="AE124" s="51">
        <f t="shared" si="95"/>
        <v>0</v>
      </c>
      <c r="AG124" s="10">
        <f>Podsumowanie!E$4-SUM(AI$5:AI123)+SUM(W$42:W124)-SUM(X$42:X124)</f>
        <v>155088.7281355522</v>
      </c>
      <c r="AH124" s="10">
        <f t="shared" si="120"/>
        <v>156.38</v>
      </c>
      <c r="AI124" s="10">
        <f t="shared" si="121"/>
        <v>505.18</v>
      </c>
      <c r="AJ124" s="10">
        <f t="shared" si="134"/>
        <v>661.56</v>
      </c>
      <c r="AK124" s="10">
        <f t="shared" si="114"/>
        <v>2484.95</v>
      </c>
      <c r="AL124" s="10">
        <f>Podsumowanie!E$2-SUM(AN$5:AN123)+SUM(R$42:R124)-SUM(S$42:S124)</f>
        <v>342061.08</v>
      </c>
      <c r="AM124" s="10">
        <f t="shared" si="122"/>
        <v>344.91</v>
      </c>
      <c r="AN124" s="10">
        <f t="shared" si="123"/>
        <v>1114.21</v>
      </c>
      <c r="AO124" s="10">
        <f t="shared" si="124"/>
        <v>1459.1200000000001</v>
      </c>
      <c r="AP124" s="10">
        <f t="shared" si="125"/>
        <v>1025.8299999999997</v>
      </c>
      <c r="AR124" s="43">
        <f t="shared" si="115"/>
        <v>40878</v>
      </c>
      <c r="AS124" s="11">
        <f>AS$5+SUM(AV$5:AV123)-SUM(X$5:X124)+SUM(W$5:W124)</f>
        <v>156953.2988568052</v>
      </c>
      <c r="AT124" s="10">
        <f t="shared" si="126"/>
        <v>-158.26124301394523</v>
      </c>
      <c r="AU124" s="10">
        <f>IF(AB124=1,IF(Q124="tak",AT124,PMT(M124/12,P124+1-SUM(AB$5:AB124),AS124)),0)</f>
        <v>-593.0633946139989</v>
      </c>
      <c r="AV124" s="10">
        <f t="shared" si="127"/>
        <v>-434.80215160005366</v>
      </c>
      <c r="AW124" s="10">
        <f t="shared" si="128"/>
        <v>-2162.783587478331</v>
      </c>
      <c r="AY124" s="11">
        <f>AY$5+SUM(BA$5:BA123)+SUM(W$5:W123)-SUM(X$5:X123)</f>
        <v>150435.92719148562</v>
      </c>
      <c r="AZ124" s="11">
        <f t="shared" si="129"/>
        <v>-158.26124301394523</v>
      </c>
      <c r="BA124" s="11">
        <f t="shared" si="130"/>
        <v>-490.02</v>
      </c>
      <c r="BB124" s="11">
        <f t="shared" si="135"/>
        <v>-648.2812430139452</v>
      </c>
      <c r="BC124" s="11">
        <f t="shared" si="116"/>
        <v>-2364.152037023255</v>
      </c>
      <c r="BE124" s="172">
        <f t="shared" si="87"/>
        <v>0.0498</v>
      </c>
      <c r="BF124" s="44">
        <f>BE124+Podsumowanie!$E$6</f>
        <v>0.061799999999999994</v>
      </c>
      <c r="BG124" s="11">
        <f>BG$5+SUM(BH$5:BH123)+SUM(R$5:R123)-SUM(S$5:S123)</f>
        <v>376276.8119410803</v>
      </c>
      <c r="BH124" s="10">
        <f t="shared" si="137"/>
        <v>-501.3382753576959</v>
      </c>
      <c r="BI124" s="10">
        <f t="shared" si="132"/>
        <v>-1937.8255814965635</v>
      </c>
      <c r="BJ124" s="10">
        <f>IF(U124&lt;0,PMT(BF124/12,Podsumowanie!E$8-SUM(AB$5:AB124)+1,BG124),0)</f>
        <v>-2439.1638568542594</v>
      </c>
      <c r="BL124" s="11">
        <f>BL$5+SUM(BN$5:BN123)+SUM(R$5:R123)-SUM(S$5:S123)</f>
        <v>342061.2813370473</v>
      </c>
      <c r="BM124" s="11">
        <f t="shared" si="140"/>
        <v>-1761.6155988857934</v>
      </c>
      <c r="BN124" s="11">
        <f t="shared" si="141"/>
        <v>-1114.2061281337046</v>
      </c>
      <c r="BO124" s="11">
        <f t="shared" si="142"/>
        <v>-2875.821727019498</v>
      </c>
      <c r="BQ124" s="44">
        <f t="shared" si="91"/>
        <v>0.0619</v>
      </c>
      <c r="BR124" s="11">
        <f>BR$5+SUM(BS$5:BS123)+SUM(R$5:R123)-SUM(S$5:S123)+SUM(BV$5:BV123)</f>
        <v>404762.62739505013</v>
      </c>
      <c r="BS124" s="10">
        <f t="shared" si="101"/>
        <v>-538.43163674679</v>
      </c>
      <c r="BT124" s="10">
        <f t="shared" si="102"/>
        <v>-2087.9005529794667</v>
      </c>
      <c r="BU124" s="10">
        <f>IF(U124&lt;0,PMT(BQ124/12,Podsumowanie!E$8-SUM(AB$5:AB124)+1,BR124),0)</f>
        <v>-2626.3321897262567</v>
      </c>
      <c r="BV124" s="10">
        <f t="shared" si="96"/>
        <v>329.7681741564825</v>
      </c>
      <c r="BX124" s="11">
        <f>BX$5+SUM(BZ$5:BZ123)+SUM(R$5:R123)-SUM(S$5:S123)+SUM(CB$5,CB123)</f>
        <v>342528.2106502836</v>
      </c>
      <c r="BY124" s="10">
        <f t="shared" si="92"/>
        <v>-1766.8746866043796</v>
      </c>
      <c r="BZ124" s="10">
        <f t="shared" si="93"/>
        <v>-1115.7270705220965</v>
      </c>
      <c r="CA124" s="10">
        <f t="shared" si="103"/>
        <v>-2882.601757126476</v>
      </c>
      <c r="CB124" s="10">
        <f t="shared" si="104"/>
        <v>586.0377415567018</v>
      </c>
      <c r="CD124" s="10">
        <f>CD$5+SUM(CE$5:CE123)+SUM(R$5:R123)-SUM(S$5:S123)-SUM(CF$5:CF123)</f>
        <v>396550.98433891084</v>
      </c>
      <c r="CE124" s="10">
        <f t="shared" si="97"/>
        <v>1766.8746866043796</v>
      </c>
      <c r="CF124" s="10">
        <f t="shared" si="98"/>
        <v>2296.5640155697743</v>
      </c>
      <c r="CG124" s="10">
        <f t="shared" si="99"/>
        <v>529.6893289653947</v>
      </c>
      <c r="CI124" s="44">
        <v>0.513</v>
      </c>
      <c r="CJ124" s="10">
        <f t="shared" si="100"/>
        <v>-1178.14</v>
      </c>
      <c r="CK124" s="4">
        <f t="shared" si="105"/>
        <v>0</v>
      </c>
      <c r="CM124" s="10">
        <f t="shared" si="106"/>
        <v>-104034.86702168787</v>
      </c>
      <c r="CN124" s="4">
        <f t="shared" si="107"/>
        <v>-431.74469814000463</v>
      </c>
    </row>
    <row r="125" spans="1:92" ht="15.75">
      <c r="A125" s="36">
        <v>2012</v>
      </c>
      <c r="B125" s="37">
        <v>40909</v>
      </c>
      <c r="C125" s="77">
        <f t="shared" si="85"/>
        <v>3.6135</v>
      </c>
      <c r="D125" s="78">
        <f>C125*(1+Podsumowanie!E$11)</f>
        <v>3.7219050000000005</v>
      </c>
      <c r="E125" s="34">
        <f t="shared" si="117"/>
        <v>-611.4055614577309</v>
      </c>
      <c r="F125" s="7">
        <f t="shared" si="138"/>
        <v>-2275.593416217336</v>
      </c>
      <c r="G125" s="7">
        <f t="shared" si="118"/>
        <v>-1348.5075466733106</v>
      </c>
      <c r="H125" s="7">
        <f t="shared" si="139"/>
        <v>927.0858695440256</v>
      </c>
      <c r="I125" s="32"/>
      <c r="J125" s="4" t="str">
        <f t="shared" si="113"/>
        <v xml:space="preserve"> </v>
      </c>
      <c r="K125" s="4">
        <f>IF(B125&lt;Podsumowanie!E$7,0,K124+1)</f>
        <v>55</v>
      </c>
      <c r="L125" s="100">
        <f t="shared" si="86"/>
        <v>0.0001</v>
      </c>
      <c r="M125" s="38">
        <f>L125+Podsumowanie!E$6</f>
        <v>0.0121</v>
      </c>
      <c r="N125" s="101">
        <f>MAX(Podsumowanie!E$4+SUM(AA$5:AA124)-SUM(X$5:X125)+SUM(W$5:W125),0)</f>
        <v>161359.27495381975</v>
      </c>
      <c r="O125" s="102">
        <f>MAX(Podsumowanie!E$2+SUM(V$5:V124)-SUM(S$5:S125)+SUM(R$5:R125),0)</f>
        <v>355891.7578082954</v>
      </c>
      <c r="P125" s="39">
        <f t="shared" si="133"/>
        <v>360</v>
      </c>
      <c r="Q125" s="40" t="str">
        <f>IF(AND(K125&gt;0,K125&lt;=Podsumowanie!E$9),"tak","nie")</f>
        <v>nie</v>
      </c>
      <c r="R125" s="41"/>
      <c r="S125" s="42"/>
      <c r="T125" s="88">
        <f t="shared" si="119"/>
        <v>-358.85752245669784</v>
      </c>
      <c r="U125" s="89">
        <f>IF(Q125="tak",T125,IF(P125-SUM(AB$5:AB125)+1&gt;0,IF(Podsumowanie!E$7&lt;B125,IF(SUM(AB$5:AB125)-Podsumowanie!E$9+1&gt;0,PMT(M125/12,P125+1-SUM(AB$5:AB125),O125),T125),0),0))</f>
        <v>-1348.5075466733106</v>
      </c>
      <c r="V125" s="89">
        <f t="shared" si="143"/>
        <v>-989.6500242166128</v>
      </c>
      <c r="W125" s="90" t="str">
        <f>IF(R125&gt;0,R125/(C125*(1-Podsumowanie!E$11))," ")</f>
        <v xml:space="preserve"> </v>
      </c>
      <c r="X125" s="90">
        <f t="shared" si="94"/>
        <v>0</v>
      </c>
      <c r="Y125" s="91">
        <f t="shared" si="112"/>
        <v>-162.7039355784349</v>
      </c>
      <c r="Z125" s="90">
        <f>IF(P125-SUM(AB$5:AB125)+1&gt;0,IF(Podsumowanie!E$7&lt;B125,IF(SUM(AB$5:AB125)-Podsumowanie!E$9+1&gt;0,PMT(M125/12,P125+1-SUM(AB$5:AB125),N125),Y125),0),0)</f>
        <v>-611.4055614577309</v>
      </c>
      <c r="AA125" s="90">
        <f t="shared" si="136"/>
        <v>-448.701625879296</v>
      </c>
      <c r="AB125" s="8">
        <f>IF(AND(Podsumowanie!E$7&lt;B125,SUM(AB$5:AB124)&lt;P124),1," ")</f>
        <v>1</v>
      </c>
      <c r="AD125" s="51">
        <f>IF(OR(B125&lt;Podsumowanie!E$12,Podsumowanie!E$12=""),-F125+S125,0)</f>
        <v>2275.593416217336</v>
      </c>
      <c r="AE125" s="51">
        <f t="shared" si="95"/>
        <v>0</v>
      </c>
      <c r="AG125" s="10">
        <f>Podsumowanie!E$4-SUM(AI$5:AI124)+SUM(W$42:W125)-SUM(X$42:X125)</f>
        <v>154583.5481355522</v>
      </c>
      <c r="AH125" s="10">
        <f t="shared" si="120"/>
        <v>155.87</v>
      </c>
      <c r="AI125" s="10">
        <f t="shared" si="121"/>
        <v>505.17</v>
      </c>
      <c r="AJ125" s="10">
        <f t="shared" si="134"/>
        <v>661.04</v>
      </c>
      <c r="AK125" s="10">
        <f t="shared" si="114"/>
        <v>2460.33</v>
      </c>
      <c r="AL125" s="10">
        <f>Podsumowanie!E$2-SUM(AN$5:AN124)+SUM(R$42:R125)-SUM(S$42:S125)</f>
        <v>340946.87000000005</v>
      </c>
      <c r="AM125" s="10">
        <f t="shared" si="122"/>
        <v>343.79</v>
      </c>
      <c r="AN125" s="10">
        <f t="shared" si="123"/>
        <v>1114.21</v>
      </c>
      <c r="AO125" s="10">
        <f t="shared" si="124"/>
        <v>1458</v>
      </c>
      <c r="AP125" s="10">
        <f t="shared" si="125"/>
        <v>1002.3299999999999</v>
      </c>
      <c r="AR125" s="43">
        <f t="shared" si="115"/>
        <v>40909</v>
      </c>
      <c r="AS125" s="11">
        <f>AS$5+SUM(AV$5:AV124)-SUM(X$5:X125)+SUM(W$5:W125)</f>
        <v>156518.49670520515</v>
      </c>
      <c r="AT125" s="10">
        <f t="shared" si="126"/>
        <v>-157.82281751108187</v>
      </c>
      <c r="AU125" s="10">
        <f>IF(AB125=1,IF(Q125="tak",AT125,PMT(M125/12,P125+1-SUM(AB$5:AB125),AS125)),0)</f>
        <v>-593.0633946139989</v>
      </c>
      <c r="AV125" s="10">
        <f t="shared" si="127"/>
        <v>-435.240577102917</v>
      </c>
      <c r="AW125" s="10">
        <f t="shared" si="128"/>
        <v>-2143.034576437685</v>
      </c>
      <c r="AY125" s="11">
        <f>AY$5+SUM(BA$5:BA124)+SUM(W$5:W124)-SUM(X$5:X124)</f>
        <v>149945.9071914856</v>
      </c>
      <c r="AZ125" s="11">
        <f t="shared" si="129"/>
        <v>-157.82281751108187</v>
      </c>
      <c r="BA125" s="11">
        <f t="shared" si="130"/>
        <v>-490.02</v>
      </c>
      <c r="BB125" s="11">
        <f t="shared" si="135"/>
        <v>-647.8428175110819</v>
      </c>
      <c r="BC125" s="11">
        <f t="shared" si="116"/>
        <v>-2340.9800210762946</v>
      </c>
      <c r="BE125" s="172">
        <f t="shared" si="87"/>
        <v>0.0499</v>
      </c>
      <c r="BF125" s="44">
        <f>BE125+Podsumowanie!$E$6</f>
        <v>0.0619</v>
      </c>
      <c r="BG125" s="11">
        <f>BG$5+SUM(BH$5:BH124)+SUM(R$5:R124)-SUM(S$5:S124)</f>
        <v>375775.47366572265</v>
      </c>
      <c r="BH125" s="10">
        <f t="shared" si="137"/>
        <v>-503.1195261806515</v>
      </c>
      <c r="BI125" s="10">
        <f t="shared" si="132"/>
        <v>-1938.3751516590191</v>
      </c>
      <c r="BJ125" s="10">
        <f>IF(U125&lt;0,PMT(BF125/12,Podsumowanie!E$8-SUM(AB$5:AB125)+1,BG125),0)</f>
        <v>-2441.4946778396707</v>
      </c>
      <c r="BL125" s="11">
        <f>BL$5+SUM(BN$5:BN124)+SUM(R$5:R124)-SUM(S$5:S124)</f>
        <v>340947.0752089136</v>
      </c>
      <c r="BM125" s="11">
        <f t="shared" si="140"/>
        <v>-1758.718662952646</v>
      </c>
      <c r="BN125" s="11">
        <f t="shared" si="141"/>
        <v>-1114.2061281337046</v>
      </c>
      <c r="BO125" s="11">
        <f t="shared" si="142"/>
        <v>-2872.9247910863505</v>
      </c>
      <c r="BQ125" s="44">
        <f t="shared" si="91"/>
        <v>0.062</v>
      </c>
      <c r="BR125" s="11">
        <f>BR$5+SUM(BS$5:BS124)+SUM(R$5:R124)-SUM(S$5:S124)+SUM(BV$5:BV124)</f>
        <v>404553.9639324598</v>
      </c>
      <c r="BS125" s="10">
        <f t="shared" si="101"/>
        <v>-540.789727699711</v>
      </c>
      <c r="BT125" s="10">
        <f t="shared" si="102"/>
        <v>-2090.195480317709</v>
      </c>
      <c r="BU125" s="10">
        <f>IF(U125&lt;0,PMT(BQ125/12,Podsumowanie!E$8-SUM(AB$5:AB125)+1,BR125),0)</f>
        <v>-2630.98520801742</v>
      </c>
      <c r="BV125" s="10">
        <f t="shared" si="96"/>
        <v>355.39179180008387</v>
      </c>
      <c r="BX125" s="11">
        <f>BX$5+SUM(BZ$5:BZ124)+SUM(R$5:R124)-SUM(S$5:S124)+SUM(CB$5,CB124)</f>
        <v>341384.58753674774</v>
      </c>
      <c r="BY125" s="10">
        <f t="shared" si="92"/>
        <v>-1763.8203689398633</v>
      </c>
      <c r="BZ125" s="10">
        <f t="shared" si="93"/>
        <v>-1115.6359069828356</v>
      </c>
      <c r="CA125" s="10">
        <f t="shared" si="103"/>
        <v>-2879.456275922699</v>
      </c>
      <c r="CB125" s="10">
        <f t="shared" si="104"/>
        <v>603.862859705363</v>
      </c>
      <c r="CD125" s="10">
        <f>CD$5+SUM(CE$5:CE124)+SUM(R$5:R124)-SUM(S$5:S124)-SUM(CF$5:CF124)</f>
        <v>396021.29500994546</v>
      </c>
      <c r="CE125" s="10">
        <f t="shared" si="97"/>
        <v>1763.8203689398633</v>
      </c>
      <c r="CF125" s="10">
        <f t="shared" si="98"/>
        <v>2275.593416217336</v>
      </c>
      <c r="CG125" s="10">
        <f t="shared" si="99"/>
        <v>511.77304727747287</v>
      </c>
      <c r="CI125" s="44">
        <v>0.5069</v>
      </c>
      <c r="CJ125" s="10">
        <f t="shared" si="100"/>
        <v>-1153.5</v>
      </c>
      <c r="CK125" s="4">
        <f t="shared" si="105"/>
        <v>0</v>
      </c>
      <c r="CM125" s="10">
        <f t="shared" si="106"/>
        <v>-106310.4604379052</v>
      </c>
      <c r="CN125" s="4">
        <f t="shared" si="107"/>
        <v>-442.07433132095576</v>
      </c>
    </row>
    <row r="126" spans="1:92" ht="15.75">
      <c r="A126" s="36"/>
      <c r="B126" s="37">
        <v>40940</v>
      </c>
      <c r="C126" s="77">
        <f t="shared" si="85"/>
        <v>3.466</v>
      </c>
      <c r="D126" s="78">
        <f>C126*(1+Podsumowanie!E$11)</f>
        <v>3.56998</v>
      </c>
      <c r="E126" s="34">
        <f t="shared" si="117"/>
        <v>-611.4055614577308</v>
      </c>
      <c r="F126" s="7">
        <f t="shared" si="138"/>
        <v>-2182.7056262928695</v>
      </c>
      <c r="G126" s="7">
        <f t="shared" si="118"/>
        <v>-1348.5075466733106</v>
      </c>
      <c r="H126" s="7">
        <f t="shared" si="139"/>
        <v>834.1980796195589</v>
      </c>
      <c r="I126" s="32"/>
      <c r="J126" s="4" t="str">
        <f t="shared" si="113"/>
        <v xml:space="preserve"> </v>
      </c>
      <c r="K126" s="4">
        <f>IF(B126&lt;Podsumowanie!E$7,0,K125+1)</f>
        <v>56</v>
      </c>
      <c r="L126" s="100">
        <f t="shared" si="86"/>
        <v>0.0001</v>
      </c>
      <c r="M126" s="38">
        <f>L126+Podsumowanie!E$6</f>
        <v>0.0121</v>
      </c>
      <c r="N126" s="101">
        <f>MAX(Podsumowanie!E$4+SUM(AA$5:AA125)-SUM(X$5:X126)+SUM(W$5:W126),0)</f>
        <v>160910.57332794045</v>
      </c>
      <c r="O126" s="102">
        <f>MAX(Podsumowanie!E$2+SUM(V$5:V125)-SUM(S$5:S126)+SUM(R$5:R126),0)</f>
        <v>354902.1077840788</v>
      </c>
      <c r="P126" s="39">
        <f t="shared" si="133"/>
        <v>360</v>
      </c>
      <c r="Q126" s="40" t="str">
        <f>IF(AND(K126&gt;0,K126&lt;=Podsumowanie!E$9),"tak","nie")</f>
        <v>nie</v>
      </c>
      <c r="R126" s="41"/>
      <c r="S126" s="42"/>
      <c r="T126" s="88">
        <f t="shared" si="119"/>
        <v>-357.8596253489461</v>
      </c>
      <c r="U126" s="89">
        <f>IF(Q126="tak",T126,IF(P126-SUM(AB$5:AB126)+1&gt;0,IF(Podsumowanie!E$7&lt;B126,IF(SUM(AB$5:AB126)-Podsumowanie!E$9+1&gt;0,PMT(M126/12,P126+1-SUM(AB$5:AB126),O126),T126),0),0))</f>
        <v>-1348.5075466733106</v>
      </c>
      <c r="V126" s="89">
        <f t="shared" si="143"/>
        <v>-990.6479213243645</v>
      </c>
      <c r="W126" s="90" t="str">
        <f>IF(R126&gt;0,R126/(C126*(1-Podsumowanie!E$11))," ")</f>
        <v xml:space="preserve"> </v>
      </c>
      <c r="X126" s="90">
        <f t="shared" si="94"/>
        <v>0</v>
      </c>
      <c r="Y126" s="91">
        <f t="shared" si="112"/>
        <v>-162.25149477233995</v>
      </c>
      <c r="Z126" s="90">
        <f>IF(P126-SUM(AB$5:AB126)+1&gt;0,IF(Podsumowanie!E$7&lt;B126,IF(SUM(AB$5:AB126)-Podsumowanie!E$9+1&gt;0,PMT(M126/12,P126+1-SUM(AB$5:AB126),N126),Y126),0),0)</f>
        <v>-611.4055614577308</v>
      </c>
      <c r="AA126" s="90">
        <f t="shared" si="136"/>
        <v>-449.15406668539083</v>
      </c>
      <c r="AB126" s="8">
        <f>IF(AND(Podsumowanie!E$7&lt;B126,SUM(AB$5:AB125)&lt;P125),1," ")</f>
        <v>1</v>
      </c>
      <c r="AD126" s="51">
        <f>IF(OR(B126&lt;Podsumowanie!E$12,Podsumowanie!E$12=""),-F126+S126,0)</f>
        <v>2182.7056262928695</v>
      </c>
      <c r="AE126" s="51">
        <f t="shared" si="95"/>
        <v>0</v>
      </c>
      <c r="AG126" s="10">
        <f>Podsumowanie!E$4-SUM(AI$5:AI125)+SUM(W$42:W126)-SUM(X$42:X126)</f>
        <v>154078.37813555222</v>
      </c>
      <c r="AH126" s="10">
        <f t="shared" si="120"/>
        <v>155.36</v>
      </c>
      <c r="AI126" s="10">
        <f t="shared" si="121"/>
        <v>505.18</v>
      </c>
      <c r="AJ126" s="10">
        <f t="shared" si="134"/>
        <v>660.54</v>
      </c>
      <c r="AK126" s="10">
        <f t="shared" si="114"/>
        <v>2358.11</v>
      </c>
      <c r="AL126" s="10">
        <f>Podsumowanie!E$2-SUM(AN$5:AN125)+SUM(R$42:R126)-SUM(S$42:S126)</f>
        <v>339832.66000000003</v>
      </c>
      <c r="AM126" s="10">
        <f t="shared" si="122"/>
        <v>342.66</v>
      </c>
      <c r="AN126" s="10">
        <f t="shared" si="123"/>
        <v>1114.21</v>
      </c>
      <c r="AO126" s="10">
        <f t="shared" si="124"/>
        <v>1456.8700000000001</v>
      </c>
      <c r="AP126" s="10">
        <f t="shared" si="125"/>
        <v>901.24</v>
      </c>
      <c r="AR126" s="43">
        <f t="shared" si="115"/>
        <v>40940</v>
      </c>
      <c r="AS126" s="11">
        <f>AS$5+SUM(AV$5:AV125)-SUM(X$5:X126)+SUM(W$5:W126)</f>
        <v>156083.25612810222</v>
      </c>
      <c r="AT126" s="10">
        <f t="shared" si="126"/>
        <v>-157.38394992916975</v>
      </c>
      <c r="AU126" s="10">
        <f>IF(AB126=1,IF(Q126="tak",AT126,PMT(M126/12,P126+1-SUM(AB$5:AB126),AS126)),0)</f>
        <v>-593.0633946139989</v>
      </c>
      <c r="AV126" s="10">
        <f t="shared" si="127"/>
        <v>-435.67944468482915</v>
      </c>
      <c r="AW126" s="10">
        <f t="shared" si="128"/>
        <v>-2055.55772573212</v>
      </c>
      <c r="AY126" s="11">
        <f>AY$5+SUM(BA$5:BA125)+SUM(W$5:W125)-SUM(X$5:X125)</f>
        <v>149455.8871914856</v>
      </c>
      <c r="AZ126" s="11">
        <f t="shared" si="129"/>
        <v>-157.38394992916975</v>
      </c>
      <c r="BA126" s="11">
        <f t="shared" si="130"/>
        <v>-490.02</v>
      </c>
      <c r="BB126" s="11">
        <f t="shared" si="135"/>
        <v>-647.4039499291697</v>
      </c>
      <c r="BC126" s="11">
        <f t="shared" si="116"/>
        <v>-2243.9020904545023</v>
      </c>
      <c r="BE126" s="172">
        <f t="shared" si="87"/>
        <v>0.0497</v>
      </c>
      <c r="BF126" s="44">
        <f>BE126+Podsumowanie!$E$6</f>
        <v>0.061700000000000005</v>
      </c>
      <c r="BG126" s="11">
        <f>BG$5+SUM(BH$5:BH125)+SUM(R$5:R125)-SUM(S$5:S125)</f>
        <v>375272.354139542</v>
      </c>
      <c r="BH126" s="10">
        <f t="shared" si="137"/>
        <v>-507.3191254940491</v>
      </c>
      <c r="BI126" s="10">
        <f t="shared" si="132"/>
        <v>-1929.525354200812</v>
      </c>
      <c r="BJ126" s="10">
        <f>IF(U126&lt;0,PMT(BF126/12,Podsumowanie!E$8-SUM(AB$5:AB126)+1,BG126),0)</f>
        <v>-2436.844479694861</v>
      </c>
      <c r="BL126" s="11">
        <f>BL$5+SUM(BN$5:BN125)+SUM(R$5:R125)-SUM(S$5:S125)</f>
        <v>339832.8690807799</v>
      </c>
      <c r="BM126" s="11">
        <f t="shared" si="140"/>
        <v>-1747.3073351903433</v>
      </c>
      <c r="BN126" s="11">
        <f t="shared" si="141"/>
        <v>-1114.2061281337046</v>
      </c>
      <c r="BO126" s="11">
        <f t="shared" si="142"/>
        <v>-2861.5134633240477</v>
      </c>
      <c r="BQ126" s="44">
        <f t="shared" si="91"/>
        <v>0.0618</v>
      </c>
      <c r="BR126" s="11">
        <f>BR$5+SUM(BS$5:BS125)+SUM(R$5:R125)-SUM(S$5:S125)+SUM(BV$5:BV125)</f>
        <v>404368.5659965602</v>
      </c>
      <c r="BS126" s="10">
        <f t="shared" si="101"/>
        <v>-545.7884734093159</v>
      </c>
      <c r="BT126" s="10">
        <f t="shared" si="102"/>
        <v>-2082.498114882285</v>
      </c>
      <c r="BU126" s="10">
        <f>IF(U126&lt;0,PMT(BQ126/12,Podsumowanie!E$8-SUM(AB$5:AB126)+1,BR126),0)</f>
        <v>-2628.2865882916008</v>
      </c>
      <c r="BV126" s="10">
        <f t="shared" si="96"/>
        <v>445.58096199873125</v>
      </c>
      <c r="BX126" s="11">
        <f>BX$5+SUM(BZ$5:BZ125)+SUM(R$5:R125)-SUM(S$5:S125)+SUM(CB$5,CB125)</f>
        <v>340286.77674791357</v>
      </c>
      <c r="BY126" s="10">
        <f t="shared" si="92"/>
        <v>-1752.4769002517548</v>
      </c>
      <c r="BZ126" s="10">
        <f t="shared" si="93"/>
        <v>-1115.6943499931592</v>
      </c>
      <c r="CA126" s="10">
        <f t="shared" si="103"/>
        <v>-2868.171250244914</v>
      </c>
      <c r="CB126" s="10">
        <f t="shared" si="104"/>
        <v>685.4656239520446</v>
      </c>
      <c r="CD126" s="10">
        <f>CD$5+SUM(CE$5:CE125)+SUM(R$5:R125)-SUM(S$5:S125)-SUM(CF$5:CF125)</f>
        <v>395509.521962668</v>
      </c>
      <c r="CE126" s="10">
        <f t="shared" si="97"/>
        <v>1752.4769002517548</v>
      </c>
      <c r="CF126" s="10">
        <f t="shared" si="98"/>
        <v>2182.7056262928695</v>
      </c>
      <c r="CG126" s="10">
        <f t="shared" si="99"/>
        <v>430.22872604111467</v>
      </c>
      <c r="CI126" s="44">
        <v>0.4965</v>
      </c>
      <c r="CJ126" s="10">
        <f t="shared" si="100"/>
        <v>-1083.71</v>
      </c>
      <c r="CK126" s="4">
        <f t="shared" si="105"/>
        <v>0</v>
      </c>
      <c r="CM126" s="10">
        <f t="shared" si="106"/>
        <v>-108493.16606419807</v>
      </c>
      <c r="CN126" s="4">
        <f t="shared" si="107"/>
        <v>-449.34252944922036</v>
      </c>
    </row>
    <row r="127" spans="1:92" ht="15.75">
      <c r="A127" s="36"/>
      <c r="B127" s="37">
        <v>40969</v>
      </c>
      <c r="C127" s="77">
        <f t="shared" si="85"/>
        <v>3.43</v>
      </c>
      <c r="D127" s="78">
        <f>C127*(1+Podsumowanie!E$11)</f>
        <v>3.5329</v>
      </c>
      <c r="E127" s="34">
        <f t="shared" si="117"/>
        <v>-611.4055614577309</v>
      </c>
      <c r="F127" s="7">
        <f t="shared" si="138"/>
        <v>-2160.0347080740175</v>
      </c>
      <c r="G127" s="7">
        <f t="shared" si="118"/>
        <v>-1348.5075466733106</v>
      </c>
      <c r="H127" s="7">
        <f t="shared" si="139"/>
        <v>811.527161400707</v>
      </c>
      <c r="I127" s="32"/>
      <c r="J127" s="4" t="str">
        <f t="shared" si="113"/>
        <v xml:space="preserve"> </v>
      </c>
      <c r="K127" s="4">
        <f>IF(B127&lt;Podsumowanie!E$7,0,K126+1)</f>
        <v>57</v>
      </c>
      <c r="L127" s="100">
        <f t="shared" si="86"/>
        <v>0.0001</v>
      </c>
      <c r="M127" s="38">
        <f>L127+Podsumowanie!E$6</f>
        <v>0.0121</v>
      </c>
      <c r="N127" s="101">
        <f>MAX(Podsumowanie!E$4+SUM(AA$5:AA126)-SUM(X$5:X127)+SUM(W$5:W127),0)</f>
        <v>160461.41926125507</v>
      </c>
      <c r="O127" s="102">
        <f>MAX(Podsumowanie!E$2+SUM(V$5:V126)-SUM(S$5:S127)+SUM(R$5:R127),0)</f>
        <v>353911.45986275445</v>
      </c>
      <c r="P127" s="39">
        <f t="shared" si="133"/>
        <v>360</v>
      </c>
      <c r="Q127" s="40" t="str">
        <f>IF(AND(K127&gt;0,K127&lt;=Podsumowanie!E$9),"tak","nie")</f>
        <v>nie</v>
      </c>
      <c r="R127" s="41"/>
      <c r="S127" s="42"/>
      <c r="T127" s="88">
        <f t="shared" si="119"/>
        <v>-356.8607220282774</v>
      </c>
      <c r="U127" s="89">
        <f>IF(Q127="tak",T127,IF(P127-SUM(AB$5:AB127)+1&gt;0,IF(Podsumowanie!E$7&lt;B127,IF(SUM(AB$5:AB127)-Podsumowanie!E$9+1&gt;0,PMT(M127/12,P127+1-SUM(AB$5:AB127),O127),T127),0),0))</f>
        <v>-1348.5075466733106</v>
      </c>
      <c r="V127" s="89">
        <f t="shared" si="143"/>
        <v>-991.6468246450331</v>
      </c>
      <c r="W127" s="90" t="str">
        <f>IF(R127&gt;0,R127/(C127*(1-Podsumowanie!E$11))," ")</f>
        <v xml:space="preserve"> </v>
      </c>
      <c r="X127" s="90">
        <f t="shared" si="94"/>
        <v>0</v>
      </c>
      <c r="Y127" s="91">
        <f t="shared" si="112"/>
        <v>-161.79859775509885</v>
      </c>
      <c r="Z127" s="90">
        <f>IF(P127-SUM(AB$5:AB127)+1&gt;0,IF(Podsumowanie!E$7&lt;B127,IF(SUM(AB$5:AB127)-Podsumowanie!E$9+1&gt;0,PMT(M127/12,P127+1-SUM(AB$5:AB127),N127),Y127),0),0)</f>
        <v>-611.4055614577309</v>
      </c>
      <c r="AA127" s="90">
        <f t="shared" si="136"/>
        <v>-449.606963702632</v>
      </c>
      <c r="AB127" s="8">
        <f>IF(AND(Podsumowanie!E$7&lt;B127,SUM(AB$5:AB126)&lt;P126),1," ")</f>
        <v>1</v>
      </c>
      <c r="AD127" s="51">
        <f>IF(OR(B127&lt;Podsumowanie!E$12,Podsumowanie!E$12=""),-F127+S127,0)</f>
        <v>2160.0347080740175</v>
      </c>
      <c r="AE127" s="51">
        <f t="shared" si="95"/>
        <v>0</v>
      </c>
      <c r="AG127" s="10">
        <f>Podsumowanie!E$4-SUM(AI$5:AI126)+SUM(W$42:W127)-SUM(X$42:X127)</f>
        <v>153573.19813555223</v>
      </c>
      <c r="AH127" s="10">
        <f t="shared" si="120"/>
        <v>154.85</v>
      </c>
      <c r="AI127" s="10">
        <f t="shared" si="121"/>
        <v>505.17</v>
      </c>
      <c r="AJ127" s="10">
        <f t="shared" si="134"/>
        <v>660.02</v>
      </c>
      <c r="AK127" s="10">
        <f t="shared" si="114"/>
        <v>2331.78</v>
      </c>
      <c r="AL127" s="10">
        <f>Podsumowanie!E$2-SUM(AN$5:AN126)+SUM(R$42:R127)-SUM(S$42:S127)</f>
        <v>338718.45000000007</v>
      </c>
      <c r="AM127" s="10">
        <f t="shared" si="122"/>
        <v>341.54</v>
      </c>
      <c r="AN127" s="10">
        <f t="shared" si="123"/>
        <v>1114.21</v>
      </c>
      <c r="AO127" s="10">
        <f t="shared" si="124"/>
        <v>1455.75</v>
      </c>
      <c r="AP127" s="10">
        <f t="shared" si="125"/>
        <v>876.0300000000002</v>
      </c>
      <c r="AR127" s="43">
        <f t="shared" si="115"/>
        <v>40969</v>
      </c>
      <c r="AS127" s="11">
        <f>AS$5+SUM(AV$5:AV126)-SUM(X$5:X127)+SUM(W$5:W127)</f>
        <v>155647.5766834174</v>
      </c>
      <c r="AT127" s="10">
        <f t="shared" si="126"/>
        <v>-156.94463982244588</v>
      </c>
      <c r="AU127" s="10">
        <f>IF(AB127=1,IF(Q127="tak",AT127,PMT(M127/12,P127+1-SUM(AB$5:AB127),AS127)),0)</f>
        <v>-593.0633946139989</v>
      </c>
      <c r="AV127" s="10">
        <f t="shared" si="127"/>
        <v>-436.118754791553</v>
      </c>
      <c r="AW127" s="10">
        <f t="shared" si="128"/>
        <v>-2034.2074435260163</v>
      </c>
      <c r="AY127" s="11">
        <f>AY$5+SUM(BA$5:BA126)+SUM(W$5:W126)-SUM(X$5:X126)</f>
        <v>148965.8671914856</v>
      </c>
      <c r="AZ127" s="11">
        <f t="shared" si="129"/>
        <v>-156.94463982244588</v>
      </c>
      <c r="BA127" s="11">
        <f t="shared" si="130"/>
        <v>-490.02</v>
      </c>
      <c r="BB127" s="11">
        <f t="shared" si="135"/>
        <v>-646.9646398224459</v>
      </c>
      <c r="BC127" s="11">
        <f t="shared" si="116"/>
        <v>-2219.088714590989</v>
      </c>
      <c r="BE127" s="172">
        <f t="shared" si="87"/>
        <v>0.0495</v>
      </c>
      <c r="BF127" s="44">
        <f>BE127+Podsumowanie!$E$6</f>
        <v>0.0615</v>
      </c>
      <c r="BG127" s="11">
        <f>BG$5+SUM(BH$5:BH126)+SUM(R$5:R126)-SUM(S$5:S126)</f>
        <v>374765.0350140479</v>
      </c>
      <c r="BH127" s="10">
        <f t="shared" si="137"/>
        <v>-511.53806301334794</v>
      </c>
      <c r="BI127" s="10">
        <f t="shared" si="132"/>
        <v>-1920.6708044469958</v>
      </c>
      <c r="BJ127" s="10">
        <f>IF(U127&lt;0,PMT(BF127/12,Podsumowanie!E$8-SUM(AB$5:AB127)+1,BG127),0)</f>
        <v>-2432.2088674603438</v>
      </c>
      <c r="BL127" s="11">
        <f>BL$5+SUM(BN$5:BN126)+SUM(R$5:R126)-SUM(S$5:S126)</f>
        <v>338718.66295264615</v>
      </c>
      <c r="BM127" s="11">
        <f t="shared" si="140"/>
        <v>-1735.9331476323114</v>
      </c>
      <c r="BN127" s="11">
        <f t="shared" si="141"/>
        <v>-1114.2061281337044</v>
      </c>
      <c r="BO127" s="11">
        <f t="shared" si="142"/>
        <v>-2850.139275766016</v>
      </c>
      <c r="BQ127" s="44">
        <f t="shared" si="91"/>
        <v>0.0616</v>
      </c>
      <c r="BR127" s="11">
        <f>BR$5+SUM(BS$5:BS126)+SUM(R$5:R126)-SUM(S$5:S126)+SUM(BV$5:BV126)</f>
        <v>404268.3584851496</v>
      </c>
      <c r="BS127" s="10">
        <f t="shared" si="101"/>
        <v>-550.9396376489149</v>
      </c>
      <c r="BT127" s="10">
        <f t="shared" si="102"/>
        <v>-2075.244240223768</v>
      </c>
      <c r="BU127" s="10">
        <f>IF(U127&lt;0,PMT(BQ127/12,Podsumowanie!E$8-SUM(AB$5:AB127)+1,BR127),0)</f>
        <v>-2626.183877872683</v>
      </c>
      <c r="BV127" s="10">
        <f t="shared" si="96"/>
        <v>466.1491697986653</v>
      </c>
      <c r="BX127" s="11">
        <f>BX$5+SUM(BZ$5:BZ126)+SUM(R$5:R126)-SUM(S$5:S126)+SUM(CB$5,CB126)</f>
        <v>339252.6851621671</v>
      </c>
      <c r="BY127" s="10">
        <f t="shared" si="92"/>
        <v>-1741.4971171657915</v>
      </c>
      <c r="BZ127" s="10">
        <f t="shared" si="93"/>
        <v>-1115.9627801387076</v>
      </c>
      <c r="CA127" s="10">
        <f t="shared" si="103"/>
        <v>-2857.459897304499</v>
      </c>
      <c r="CB127" s="10">
        <f t="shared" si="104"/>
        <v>697.4251892304815</v>
      </c>
      <c r="CD127" s="10">
        <f>CD$5+SUM(CE$5:CE126)+SUM(R$5:R126)-SUM(S$5:S126)-SUM(CF$5:CF126)</f>
        <v>395079.2932366269</v>
      </c>
      <c r="CE127" s="10">
        <f t="shared" si="97"/>
        <v>1741.4971171657915</v>
      </c>
      <c r="CF127" s="10">
        <f t="shared" si="98"/>
        <v>2160.0347080740175</v>
      </c>
      <c r="CG127" s="10">
        <f t="shared" si="99"/>
        <v>418.5375909082261</v>
      </c>
      <c r="CI127" s="44">
        <v>0.4905</v>
      </c>
      <c r="CJ127" s="10">
        <f t="shared" si="100"/>
        <v>-1059.5</v>
      </c>
      <c r="CK127" s="4">
        <f t="shared" si="105"/>
        <v>0</v>
      </c>
      <c r="CM127" s="10">
        <f t="shared" si="106"/>
        <v>-110653.20077227209</v>
      </c>
      <c r="CN127" s="4">
        <f t="shared" si="107"/>
        <v>-456.4444531856224</v>
      </c>
    </row>
    <row r="128" spans="1:92" ht="15.75">
      <c r="A128" s="36"/>
      <c r="B128" s="37">
        <v>41000</v>
      </c>
      <c r="C128" s="77">
        <f t="shared" si="85"/>
        <v>3.4736</v>
      </c>
      <c r="D128" s="78">
        <f>C128*(1+Podsumowanie!E$11)</f>
        <v>3.577808</v>
      </c>
      <c r="E128" s="34">
        <f t="shared" si="117"/>
        <v>-618.8010718008787</v>
      </c>
      <c r="F128" s="7">
        <f t="shared" si="138"/>
        <v>-2213.9514250977586</v>
      </c>
      <c r="G128" s="7">
        <f t="shared" si="118"/>
        <v>-1364.8189807490128</v>
      </c>
      <c r="H128" s="7">
        <f t="shared" si="139"/>
        <v>849.1324443487458</v>
      </c>
      <c r="I128" s="32"/>
      <c r="J128" s="4" t="str">
        <f t="shared" si="113"/>
        <v xml:space="preserve"> </v>
      </c>
      <c r="K128" s="4">
        <f>IF(B128&lt;Podsumowanie!E$7,0,K127+1)</f>
        <v>58</v>
      </c>
      <c r="L128" s="100">
        <f t="shared" si="86"/>
        <v>0.0011</v>
      </c>
      <c r="M128" s="38">
        <f>L128+Podsumowanie!E$6</f>
        <v>0.0131</v>
      </c>
      <c r="N128" s="101">
        <f>MAX(Podsumowanie!E$4+SUM(AA$5:AA127)-SUM(X$5:X128)+SUM(W$5:W128),0)</f>
        <v>160011.81229755242</v>
      </c>
      <c r="O128" s="102">
        <f>MAX(Podsumowanie!E$2+SUM(V$5:V127)-SUM(S$5:S128)+SUM(R$5:R128),0)</f>
        <v>352919.81303810945</v>
      </c>
      <c r="P128" s="39">
        <f t="shared" si="133"/>
        <v>360</v>
      </c>
      <c r="Q128" s="40" t="str">
        <f>IF(AND(K128&gt;0,K128&lt;=Podsumowanie!E$9),"tak","nie")</f>
        <v>nie</v>
      </c>
      <c r="R128" s="41"/>
      <c r="S128" s="42"/>
      <c r="T128" s="88">
        <f t="shared" si="119"/>
        <v>-385.2707958999362</v>
      </c>
      <c r="U128" s="89">
        <f>IF(Q128="tak",T128,IF(P128-SUM(AB$5:AB128)+1&gt;0,IF(Podsumowanie!E$7&lt;B128,IF(SUM(AB$5:AB128)-Podsumowanie!E$9+1&gt;0,PMT(M128/12,P128+1-SUM(AB$5:AB128),O128),T128),0),0))</f>
        <v>-1364.8189807490128</v>
      </c>
      <c r="V128" s="89">
        <f t="shared" si="143"/>
        <v>-979.5481848490765</v>
      </c>
      <c r="W128" s="90" t="str">
        <f>IF(R128&gt;0,R128/(C128*(1-Podsumowanie!E$11))," ")</f>
        <v xml:space="preserve"> </v>
      </c>
      <c r="X128" s="90">
        <f t="shared" si="94"/>
        <v>0</v>
      </c>
      <c r="Y128" s="91">
        <f t="shared" si="112"/>
        <v>-174.6795617581614</v>
      </c>
      <c r="Z128" s="90">
        <f>IF(P128-SUM(AB$5:AB128)+1&gt;0,IF(Podsumowanie!E$7&lt;B128,IF(SUM(AB$5:AB128)-Podsumowanie!E$9+1&gt;0,PMT(M128/12,P128+1-SUM(AB$5:AB128),N128),Y128),0),0)</f>
        <v>-618.8010718008787</v>
      </c>
      <c r="AA128" s="90">
        <f t="shared" si="136"/>
        <v>-444.1215100427173</v>
      </c>
      <c r="AB128" s="8">
        <f>IF(AND(Podsumowanie!E$7&lt;B128,SUM(AB$5:AB127)&lt;P127),1," ")</f>
        <v>1</v>
      </c>
      <c r="AD128" s="51">
        <f>IF(OR(B128&lt;Podsumowanie!E$12,Podsumowanie!E$12=""),-F128+S128,0)</f>
        <v>2213.9514250977586</v>
      </c>
      <c r="AE128" s="51">
        <f t="shared" si="95"/>
        <v>0</v>
      </c>
      <c r="AG128" s="10">
        <f>Podsumowanie!E$4-SUM(AI$5:AI127)+SUM(W$42:W128)-SUM(X$42:X128)</f>
        <v>153068.02813555222</v>
      </c>
      <c r="AH128" s="10">
        <f t="shared" si="120"/>
        <v>167.1</v>
      </c>
      <c r="AI128" s="10">
        <f t="shared" si="121"/>
        <v>505.18</v>
      </c>
      <c r="AJ128" s="10">
        <f t="shared" si="134"/>
        <v>672.28</v>
      </c>
      <c r="AK128" s="10">
        <f t="shared" si="114"/>
        <v>2405.29</v>
      </c>
      <c r="AL128" s="10">
        <f>Podsumowanie!E$2-SUM(AN$5:AN127)+SUM(R$42:R128)-SUM(S$42:S128)</f>
        <v>337604.24000000005</v>
      </c>
      <c r="AM128" s="10">
        <f t="shared" si="122"/>
        <v>368.55</v>
      </c>
      <c r="AN128" s="10">
        <f t="shared" si="123"/>
        <v>1114.21</v>
      </c>
      <c r="AO128" s="10">
        <f t="shared" si="124"/>
        <v>1482.76</v>
      </c>
      <c r="AP128" s="10">
        <f t="shared" si="125"/>
        <v>922.53</v>
      </c>
      <c r="AR128" s="43">
        <f t="shared" si="115"/>
        <v>41000</v>
      </c>
      <c r="AS128" s="11">
        <f>AS$5+SUM(AV$5:AV127)-SUM(X$5:X128)+SUM(W$5:W128)</f>
        <v>155211.45792862584</v>
      </c>
      <c r="AT128" s="10">
        <f t="shared" si="126"/>
        <v>-169.43917490541654</v>
      </c>
      <c r="AU128" s="10">
        <f>IF(AB128=1,IF(Q128="tak",AT128,PMT(M128/12,P128+1-SUM(AB$5:AB128),AS128)),0)</f>
        <v>-600.2370396468523</v>
      </c>
      <c r="AV128" s="10">
        <f t="shared" si="127"/>
        <v>-430.7978647414358</v>
      </c>
      <c r="AW128" s="10">
        <f t="shared" si="128"/>
        <v>-2084.983380917306</v>
      </c>
      <c r="AY128" s="11">
        <f>AY$5+SUM(BA$5:BA127)+SUM(W$5:W127)-SUM(X$5:X127)</f>
        <v>148475.8471914856</v>
      </c>
      <c r="AZ128" s="11">
        <f t="shared" si="129"/>
        <v>-169.43917490541654</v>
      </c>
      <c r="BA128" s="11">
        <f t="shared" si="130"/>
        <v>-490.02</v>
      </c>
      <c r="BB128" s="11">
        <f t="shared" si="135"/>
        <v>-659.4591749054165</v>
      </c>
      <c r="BC128" s="11">
        <f t="shared" si="116"/>
        <v>-2290.6973899514546</v>
      </c>
      <c r="BE128" s="172">
        <f t="shared" si="87"/>
        <v>0.0494</v>
      </c>
      <c r="BF128" s="44">
        <f>BE128+Podsumowanie!$E$6</f>
        <v>0.061399999999999996</v>
      </c>
      <c r="BG128" s="11">
        <f>BG$5+SUM(BH$5:BH127)+SUM(R$5:R127)-SUM(S$5:S127)</f>
        <v>374253.4969510346</v>
      </c>
      <c r="BH128" s="10">
        <f t="shared" si="137"/>
        <v>-514.9674590774296</v>
      </c>
      <c r="BI128" s="10">
        <f t="shared" si="132"/>
        <v>-1914.9303927327935</v>
      </c>
      <c r="BJ128" s="10">
        <f>IF(U128&lt;0,PMT(BF128/12,Podsumowanie!E$8-SUM(AB$5:AB128)+1,BG128),0)</f>
        <v>-2429.897851810223</v>
      </c>
      <c r="BL128" s="11">
        <f>BL$5+SUM(BN$5:BN127)+SUM(R$5:R127)-SUM(S$5:S127)</f>
        <v>337604.45682451245</v>
      </c>
      <c r="BM128" s="11">
        <f t="shared" si="140"/>
        <v>-1727.4094707520887</v>
      </c>
      <c r="BN128" s="11">
        <f t="shared" si="141"/>
        <v>-1114.2061281337044</v>
      </c>
      <c r="BO128" s="11">
        <f t="shared" si="142"/>
        <v>-2841.615598885793</v>
      </c>
      <c r="BQ128" s="44">
        <f t="shared" si="91"/>
        <v>0.0615</v>
      </c>
      <c r="BR128" s="11">
        <f>BR$5+SUM(BS$5:BS127)+SUM(R$5:R127)-SUM(S$5:S127)+SUM(BV$5:BV127)</f>
        <v>404183.5680172994</v>
      </c>
      <c r="BS128" s="10">
        <f t="shared" si="101"/>
        <v>-555.2784462557611</v>
      </c>
      <c r="BT128" s="10">
        <f t="shared" si="102"/>
        <v>-2071.4407860886595</v>
      </c>
      <c r="BU128" s="10">
        <f>IF(U128&lt;0,PMT(BQ128/12,Podsumowanie!E$8-SUM(AB$5:AB128)+1,BR128),0)</f>
        <v>-2626.7192323444206</v>
      </c>
      <c r="BV128" s="10">
        <f t="shared" si="96"/>
        <v>412.76780724666196</v>
      </c>
      <c r="BX128" s="11">
        <f>BX$5+SUM(BZ$5:BZ127)+SUM(R$5:R127)-SUM(S$5:S127)+SUM(CB$5,CB127)</f>
        <v>338148.68194730685</v>
      </c>
      <c r="BY128" s="10">
        <f t="shared" si="92"/>
        <v>-1733.0119949799475</v>
      </c>
      <c r="BZ128" s="10">
        <f t="shared" si="93"/>
        <v>-1116.0022506511777</v>
      </c>
      <c r="CA128" s="10">
        <f t="shared" si="103"/>
        <v>-2849.014245631125</v>
      </c>
      <c r="CB128" s="10">
        <f t="shared" si="104"/>
        <v>635.0628205333664</v>
      </c>
      <c r="CD128" s="10">
        <f>CD$5+SUM(CE$5:CE127)+SUM(R$5:R127)-SUM(S$5:S127)-SUM(CF$5:CF127)</f>
        <v>394660.75564571866</v>
      </c>
      <c r="CE128" s="10">
        <f t="shared" si="97"/>
        <v>1733.0119949799475</v>
      </c>
      <c r="CF128" s="10">
        <f t="shared" si="98"/>
        <v>2213.9514250977586</v>
      </c>
      <c r="CG128" s="10">
        <f t="shared" si="99"/>
        <v>480.93943011781107</v>
      </c>
      <c r="CI128" s="44">
        <v>0.4831</v>
      </c>
      <c r="CJ128" s="10">
        <f t="shared" si="100"/>
        <v>-1069.56</v>
      </c>
      <c r="CK128" s="4">
        <f t="shared" si="105"/>
        <v>0</v>
      </c>
      <c r="CM128" s="10">
        <f t="shared" si="106"/>
        <v>-112867.15219736984</v>
      </c>
      <c r="CN128" s="4">
        <f t="shared" si="107"/>
        <v>-464.6364432125058</v>
      </c>
    </row>
    <row r="129" spans="1:92" ht="15.75">
      <c r="A129" s="36"/>
      <c r="B129" s="37">
        <v>41030</v>
      </c>
      <c r="C129" s="77">
        <f t="shared" si="85"/>
        <v>3.57</v>
      </c>
      <c r="D129" s="78">
        <f>C129*(1+Podsumowanie!E$11)</f>
        <v>3.6771</v>
      </c>
      <c r="E129" s="34">
        <f t="shared" si="117"/>
        <v>-618.8010718008786</v>
      </c>
      <c r="F129" s="7">
        <f t="shared" si="138"/>
        <v>-2275.393421119011</v>
      </c>
      <c r="G129" s="7">
        <f t="shared" si="118"/>
        <v>-1364.8189807490128</v>
      </c>
      <c r="H129" s="7">
        <f t="shared" si="139"/>
        <v>910.574440369998</v>
      </c>
      <c r="I129" s="32"/>
      <c r="J129" s="4" t="str">
        <f t="shared" si="113"/>
        <v xml:space="preserve"> </v>
      </c>
      <c r="K129" s="4">
        <f>IF(B129&lt;Podsumowanie!E$7,0,K128+1)</f>
        <v>59</v>
      </c>
      <c r="L129" s="100">
        <f t="shared" si="86"/>
        <v>0.0011</v>
      </c>
      <c r="M129" s="38">
        <f>L129+Podsumowanie!E$6</f>
        <v>0.0131</v>
      </c>
      <c r="N129" s="101">
        <f>MAX(Podsumowanie!E$4+SUM(AA$5:AA128)-SUM(X$5:X129)+SUM(W$5:W129),0)</f>
        <v>159567.6907875097</v>
      </c>
      <c r="O129" s="102">
        <f>MAX(Podsumowanie!E$2+SUM(V$5:V128)-SUM(S$5:S129)+SUM(R$5:R129),0)</f>
        <v>351940.26485326036</v>
      </c>
      <c r="P129" s="39">
        <f t="shared" si="133"/>
        <v>360</v>
      </c>
      <c r="Q129" s="40" t="str">
        <f>IF(AND(K129&gt;0,K129&lt;=Podsumowanie!E$9),"tak","nie")</f>
        <v>nie</v>
      </c>
      <c r="R129" s="41"/>
      <c r="S129" s="42"/>
      <c r="T129" s="88">
        <f t="shared" si="119"/>
        <v>-384.2014557981426</v>
      </c>
      <c r="U129" s="89">
        <f>IF(Q129="tak",T129,IF(P129-SUM(AB$5:AB129)+1&gt;0,IF(Podsumowanie!E$7&lt;B129,IF(SUM(AB$5:AB129)-Podsumowanie!E$9+1&gt;0,PMT(M129/12,P129+1-SUM(AB$5:AB129),O129),T129),0),0))</f>
        <v>-1364.8189807490128</v>
      </c>
      <c r="V129" s="89">
        <f t="shared" si="143"/>
        <v>-980.6175249508701</v>
      </c>
      <c r="W129" s="90" t="str">
        <f>IF(R129&gt;0,R129/(C129*(1-Podsumowanie!E$11))," ")</f>
        <v xml:space="preserve"> </v>
      </c>
      <c r="X129" s="90">
        <f t="shared" si="94"/>
        <v>0</v>
      </c>
      <c r="Y129" s="91">
        <f t="shared" si="112"/>
        <v>-174.19472910969807</v>
      </c>
      <c r="Z129" s="90">
        <f>IF(P129-SUM(AB$5:AB129)+1&gt;0,IF(Podsumowanie!E$7&lt;B129,IF(SUM(AB$5:AB129)-Podsumowanie!E$9+1&gt;0,PMT(M129/12,P129+1-SUM(AB$5:AB129),N129),Y129),0),0)</f>
        <v>-618.8010718008786</v>
      </c>
      <c r="AA129" s="90">
        <f t="shared" si="136"/>
        <v>-444.60634269118054</v>
      </c>
      <c r="AB129" s="8">
        <f>IF(AND(Podsumowanie!E$7&lt;B129,SUM(AB$5:AB128)&lt;P128),1," ")</f>
        <v>1</v>
      </c>
      <c r="AD129" s="51">
        <f>IF(OR(B129&lt;Podsumowanie!E$12,Podsumowanie!E$12=""),-F129+S129,0)</f>
        <v>2275.393421119011</v>
      </c>
      <c r="AE129" s="51">
        <f t="shared" si="95"/>
        <v>0</v>
      </c>
      <c r="AG129" s="10">
        <f>Podsumowanie!E$4-SUM(AI$5:AI128)+SUM(W$42:W129)-SUM(X$42:X129)</f>
        <v>152562.84813555222</v>
      </c>
      <c r="AH129" s="10">
        <f t="shared" si="120"/>
        <v>166.55</v>
      </c>
      <c r="AI129" s="10">
        <f t="shared" si="121"/>
        <v>505.17</v>
      </c>
      <c r="AJ129" s="10">
        <f t="shared" si="134"/>
        <v>671.72</v>
      </c>
      <c r="AK129" s="10">
        <f t="shared" si="114"/>
        <v>2469.98</v>
      </c>
      <c r="AL129" s="10">
        <f>Podsumowanie!E$2-SUM(AN$5:AN128)+SUM(R$42:R129)-SUM(S$42:S129)</f>
        <v>336490.03</v>
      </c>
      <c r="AM129" s="10">
        <f t="shared" si="122"/>
        <v>367.33</v>
      </c>
      <c r="AN129" s="10">
        <f t="shared" si="123"/>
        <v>1114.21</v>
      </c>
      <c r="AO129" s="10">
        <f t="shared" si="124"/>
        <v>1481.54</v>
      </c>
      <c r="AP129" s="10">
        <f t="shared" si="125"/>
        <v>988.44</v>
      </c>
      <c r="AR129" s="43">
        <f t="shared" si="115"/>
        <v>41030</v>
      </c>
      <c r="AS129" s="11">
        <f>AS$5+SUM(AV$5:AV128)-SUM(X$5:X129)+SUM(W$5:W129)</f>
        <v>154780.6600638844</v>
      </c>
      <c r="AT129" s="10">
        <f t="shared" si="126"/>
        <v>-168.96888723640714</v>
      </c>
      <c r="AU129" s="10">
        <f>IF(AB129=1,IF(Q129="tak",AT129,PMT(M129/12,P129+1-SUM(AB$5:AB129),AS129)),0)</f>
        <v>-600.2370396468522</v>
      </c>
      <c r="AV129" s="10">
        <f t="shared" si="127"/>
        <v>-431.26815241044505</v>
      </c>
      <c r="AW129" s="10">
        <f t="shared" si="128"/>
        <v>-2142.846231539262</v>
      </c>
      <c r="AY129" s="11">
        <f>AY$5+SUM(BA$5:BA128)+SUM(W$5:W128)-SUM(X$5:X128)</f>
        <v>147985.82719148562</v>
      </c>
      <c r="AZ129" s="11">
        <f t="shared" si="129"/>
        <v>-168.96888723640714</v>
      </c>
      <c r="BA129" s="11">
        <f t="shared" si="130"/>
        <v>-490.02</v>
      </c>
      <c r="BB129" s="11">
        <f t="shared" si="135"/>
        <v>-658.9888872364071</v>
      </c>
      <c r="BC129" s="11">
        <f t="shared" si="116"/>
        <v>-2352.590327433973</v>
      </c>
      <c r="BE129" s="172">
        <f t="shared" si="87"/>
        <v>0.0505</v>
      </c>
      <c r="BF129" s="44">
        <f>BE129+Podsumowanie!$E$6</f>
        <v>0.0625</v>
      </c>
      <c r="BG129" s="11">
        <f>BG$5+SUM(BH$5:BH128)+SUM(R$5:R128)-SUM(S$5:S128)</f>
        <v>373738.52949195716</v>
      </c>
      <c r="BH129" s="10">
        <f t="shared" si="137"/>
        <v>-508.7628047035814</v>
      </c>
      <c r="BI129" s="10">
        <f t="shared" si="132"/>
        <v>-1946.5548411039435</v>
      </c>
      <c r="BJ129" s="10">
        <f>IF(U129&lt;0,PMT(BF129/12,Podsumowanie!E$8-SUM(AB$5:AB129)+1,BG129),0)</f>
        <v>-2455.317645807525</v>
      </c>
      <c r="BL129" s="11">
        <f>BL$5+SUM(BN$5:BN128)+SUM(R$5:R128)-SUM(S$5:S128)</f>
        <v>336490.25069637876</v>
      </c>
      <c r="BM129" s="11">
        <f t="shared" si="140"/>
        <v>-1752.5533890436393</v>
      </c>
      <c r="BN129" s="11">
        <f t="shared" si="141"/>
        <v>-1114.2061281337044</v>
      </c>
      <c r="BO129" s="11">
        <f t="shared" si="142"/>
        <v>-2866.7595171773437</v>
      </c>
      <c r="BQ129" s="44">
        <f t="shared" si="91"/>
        <v>0.0626</v>
      </c>
      <c r="BR129" s="11">
        <f>BR$5+SUM(BS$5:BS128)+SUM(R$5:R128)-SUM(S$5:S128)+SUM(BV$5:BV128)</f>
        <v>404041.05737829034</v>
      </c>
      <c r="BS129" s="10">
        <f t="shared" si="101"/>
        <v>-549.1509172043375</v>
      </c>
      <c r="BT129" s="10">
        <f t="shared" si="102"/>
        <v>-2107.7475159900814</v>
      </c>
      <c r="BU129" s="10">
        <f>IF(U129&lt;0,PMT(BQ129/12,Podsumowanie!E$8-SUM(AB$5:AB129)+1,BR129),0)</f>
        <v>-2656.898433194419</v>
      </c>
      <c r="BV129" s="10">
        <f t="shared" si="96"/>
        <v>381.5050120754081</v>
      </c>
      <c r="BX129" s="11">
        <f>BX$5+SUM(BZ$5:BZ128)+SUM(R$5:R128)-SUM(S$5:S128)+SUM(CB$5,CB128)</f>
        <v>336970.31732795853</v>
      </c>
      <c r="BY129" s="10">
        <f t="shared" si="92"/>
        <v>-1757.8618220608505</v>
      </c>
      <c r="BZ129" s="10">
        <f t="shared" si="93"/>
        <v>-1115.7957527415845</v>
      </c>
      <c r="CA129" s="10">
        <f t="shared" si="103"/>
        <v>-2873.657574802435</v>
      </c>
      <c r="CB129" s="10">
        <f t="shared" si="104"/>
        <v>598.2641536834244</v>
      </c>
      <c r="CD129" s="10">
        <f>CD$5+SUM(CE$5:CE128)+SUM(R$5:R128)-SUM(S$5:S128)-SUM(CF$5:CF128)</f>
        <v>394179.8162156008</v>
      </c>
      <c r="CE129" s="10">
        <f t="shared" si="97"/>
        <v>1757.8618220608505</v>
      </c>
      <c r="CF129" s="10">
        <f t="shared" si="98"/>
        <v>2275.393421119011</v>
      </c>
      <c r="CG129" s="10">
        <f t="shared" si="99"/>
        <v>517.5315990581603</v>
      </c>
      <c r="CI129" s="44">
        <v>0.4742</v>
      </c>
      <c r="CJ129" s="10">
        <f t="shared" si="100"/>
        <v>-1078.99</v>
      </c>
      <c r="CK129" s="4">
        <f t="shared" si="105"/>
        <v>0</v>
      </c>
      <c r="CM129" s="10">
        <f t="shared" si="106"/>
        <v>-115142.54561848885</v>
      </c>
      <c r="CN129" s="4">
        <f t="shared" si="107"/>
        <v>-484.55821281114055</v>
      </c>
    </row>
    <row r="130" spans="1:92" ht="15.75">
      <c r="A130" s="36"/>
      <c r="B130" s="37">
        <v>41061</v>
      </c>
      <c r="C130" s="77">
        <f t="shared" si="85"/>
        <v>3.5865</v>
      </c>
      <c r="D130" s="78">
        <f>C130*(1+Podsumowanie!E$11)</f>
        <v>3.694095</v>
      </c>
      <c r="E130" s="34">
        <f t="shared" si="117"/>
        <v>-618.8010718008787</v>
      </c>
      <c r="F130" s="7">
        <f t="shared" si="138"/>
        <v>-2285.909945334267</v>
      </c>
      <c r="G130" s="7">
        <f t="shared" si="118"/>
        <v>-1364.8189807490128</v>
      </c>
      <c r="H130" s="7">
        <f t="shared" si="139"/>
        <v>921.0909645852541</v>
      </c>
      <c r="I130" s="32"/>
      <c r="J130" s="4" t="str">
        <f t="shared" si="113"/>
        <v xml:space="preserve"> </v>
      </c>
      <c r="K130" s="4">
        <f>IF(B130&lt;Podsumowanie!E$7,0,K129+1)</f>
        <v>60</v>
      </c>
      <c r="L130" s="100">
        <f t="shared" si="86"/>
        <v>0.0011</v>
      </c>
      <c r="M130" s="38">
        <f>L130+Podsumowanie!E$6</f>
        <v>0.0131</v>
      </c>
      <c r="N130" s="101">
        <f>MAX(Podsumowanie!E$4+SUM(AA$5:AA129)-SUM(X$5:X130)+SUM(W$5:W130),0)</f>
        <v>159123.08444481852</v>
      </c>
      <c r="O130" s="102">
        <f>MAX(Podsumowanie!E$2+SUM(V$5:V129)-SUM(S$5:S130)+SUM(R$5:R130),0)</f>
        <v>350959.6473283095</v>
      </c>
      <c r="P130" s="39">
        <f t="shared" si="133"/>
        <v>360</v>
      </c>
      <c r="Q130" s="40" t="str">
        <f>IF(AND(K130&gt;0,K130&lt;=Podsumowanie!E$9),"tak","nie")</f>
        <v>nie</v>
      </c>
      <c r="R130" s="41"/>
      <c r="S130" s="42"/>
      <c r="T130" s="88">
        <f t="shared" si="119"/>
        <v>-383.13094833340455</v>
      </c>
      <c r="U130" s="89">
        <f>IF(Q130="tak",T130,IF(P130-SUM(AB$5:AB130)+1&gt;0,IF(Podsumowanie!E$7&lt;B130,IF(SUM(AB$5:AB130)-Podsumowanie!E$9+1&gt;0,PMT(M130/12,P130+1-SUM(AB$5:AB130),O130),T130),0),0))</f>
        <v>-1364.8189807490128</v>
      </c>
      <c r="V130" s="89">
        <f t="shared" si="143"/>
        <v>-981.6880324156082</v>
      </c>
      <c r="W130" s="90" t="str">
        <f>IF(R130&gt;0,R130/(C130*(1-Podsumowanie!E$11))," ")</f>
        <v xml:space="preserve"> </v>
      </c>
      <c r="X130" s="90">
        <f t="shared" si="94"/>
        <v>0</v>
      </c>
      <c r="Y130" s="91">
        <f t="shared" si="112"/>
        <v>-173.70936718559358</v>
      </c>
      <c r="Z130" s="90">
        <f>IF(P130-SUM(AB$5:AB130)+1&gt;0,IF(Podsumowanie!E$7&lt;B130,IF(SUM(AB$5:AB130)-Podsumowanie!E$9+1&gt;0,PMT(M130/12,P130+1-SUM(AB$5:AB130),N130),Y130),0),0)</f>
        <v>-618.8010718008787</v>
      </c>
      <c r="AA130" s="90">
        <f t="shared" si="136"/>
        <v>-445.09170461528515</v>
      </c>
      <c r="AB130" s="8">
        <f>IF(AND(Podsumowanie!E$7&lt;B130,SUM(AB$5:AB129)&lt;P129),1," ")</f>
        <v>1</v>
      </c>
      <c r="AD130" s="51">
        <f>IF(OR(B130&lt;Podsumowanie!E$12,Podsumowanie!E$12=""),-F130+S130,0)</f>
        <v>2285.909945334267</v>
      </c>
      <c r="AE130" s="51">
        <f t="shared" si="95"/>
        <v>0</v>
      </c>
      <c r="AG130" s="10">
        <f>Podsumowanie!E$4-SUM(AI$5:AI129)+SUM(W$42:W130)-SUM(X$42:X130)</f>
        <v>152057.6781355522</v>
      </c>
      <c r="AH130" s="10">
        <f t="shared" si="120"/>
        <v>166</v>
      </c>
      <c r="AI130" s="10">
        <f t="shared" si="121"/>
        <v>505.18</v>
      </c>
      <c r="AJ130" s="10">
        <f t="shared" si="134"/>
        <v>671.1800000000001</v>
      </c>
      <c r="AK130" s="10">
        <f t="shared" si="114"/>
        <v>2479.4</v>
      </c>
      <c r="AL130" s="10">
        <f>Podsumowanie!E$2-SUM(AN$5:AN129)+SUM(R$42:R130)-SUM(S$42:S130)</f>
        <v>335375.82000000007</v>
      </c>
      <c r="AM130" s="10">
        <f t="shared" si="122"/>
        <v>366.12</v>
      </c>
      <c r="AN130" s="10">
        <f t="shared" si="123"/>
        <v>1114.21</v>
      </c>
      <c r="AO130" s="10">
        <f t="shared" si="124"/>
        <v>1480.33</v>
      </c>
      <c r="AP130" s="10">
        <f t="shared" si="125"/>
        <v>999.0700000000002</v>
      </c>
      <c r="AR130" s="43">
        <f t="shared" si="115"/>
        <v>41061</v>
      </c>
      <c r="AS130" s="11">
        <f>AS$5+SUM(AV$5:AV129)-SUM(X$5:X130)+SUM(W$5:W130)</f>
        <v>154349.39191147397</v>
      </c>
      <c r="AT130" s="10">
        <f t="shared" si="126"/>
        <v>-168.49808617002574</v>
      </c>
      <c r="AU130" s="10">
        <f>IF(AB130=1,IF(Q130="tak",AT130,PMT(M130/12,P130+1-SUM(AB$5:AB130),AS130)),0)</f>
        <v>-600.2370396468523</v>
      </c>
      <c r="AV130" s="10">
        <f t="shared" si="127"/>
        <v>-431.7389534768265</v>
      </c>
      <c r="AW130" s="10">
        <f t="shared" si="128"/>
        <v>-2152.750142693436</v>
      </c>
      <c r="AY130" s="11">
        <f>AY$5+SUM(BA$5:BA129)+SUM(W$5:W129)-SUM(X$5:X129)</f>
        <v>147495.8071914856</v>
      </c>
      <c r="AZ130" s="11">
        <f t="shared" si="129"/>
        <v>-168.49808617002574</v>
      </c>
      <c r="BA130" s="11">
        <f t="shared" si="130"/>
        <v>-490.02</v>
      </c>
      <c r="BB130" s="11">
        <f t="shared" si="135"/>
        <v>-658.5180861700258</v>
      </c>
      <c r="BC130" s="11">
        <f t="shared" si="116"/>
        <v>-2361.7751160487974</v>
      </c>
      <c r="BE130" s="172">
        <f t="shared" si="87"/>
        <v>0.0512</v>
      </c>
      <c r="BF130" s="44">
        <f>BE130+Podsumowanie!$E$6</f>
        <v>0.0632</v>
      </c>
      <c r="BG130" s="11">
        <f>BG$5+SUM(BH$5:BH129)+SUM(R$5:R129)-SUM(S$5:S129)</f>
        <v>373229.7666872536</v>
      </c>
      <c r="BH130" s="10">
        <f t="shared" si="137"/>
        <v>-505.8446606016648</v>
      </c>
      <c r="BI130" s="10">
        <f t="shared" si="132"/>
        <v>-1965.6767712195358</v>
      </c>
      <c r="BJ130" s="10">
        <f>IF(U130&lt;0,PMT(BF130/12,Podsumowanie!E$8-SUM(AB$5:AB130)+1,BG130),0)</f>
        <v>-2471.5214318212006</v>
      </c>
      <c r="BL130" s="11">
        <f>BL$5+SUM(BN$5:BN129)+SUM(R$5:R129)-SUM(S$5:S129)</f>
        <v>335376.04456824507</v>
      </c>
      <c r="BM130" s="11">
        <f t="shared" si="140"/>
        <v>-1766.3138347260908</v>
      </c>
      <c r="BN130" s="11">
        <f t="shared" si="141"/>
        <v>-1114.2061281337046</v>
      </c>
      <c r="BO130" s="11">
        <f t="shared" si="142"/>
        <v>-2880.5199628597957</v>
      </c>
      <c r="BQ130" s="44">
        <f t="shared" si="91"/>
        <v>0.0633</v>
      </c>
      <c r="BR130" s="11">
        <f>BR$5+SUM(BS$5:BS129)+SUM(R$5:R129)-SUM(S$5:S129)+SUM(BV$5:BV129)</f>
        <v>403873.4114731614</v>
      </c>
      <c r="BS130" s="10">
        <f t="shared" si="101"/>
        <v>-546.5201736042432</v>
      </c>
      <c r="BT130" s="10">
        <f t="shared" si="102"/>
        <v>-2130.4322455209262</v>
      </c>
      <c r="BU130" s="10">
        <f>IF(U130&lt;0,PMT(BQ130/12,Podsumowanie!E$8-SUM(AB$5:AB130)+1,BR130),0)</f>
        <v>-2676.9524191251694</v>
      </c>
      <c r="BV130" s="10">
        <f t="shared" si="96"/>
        <v>391.0424737909025</v>
      </c>
      <c r="BX130" s="11">
        <f>BX$5+SUM(BZ$5:BZ129)+SUM(R$5:R129)-SUM(S$5:S129)+SUM(CB$5,CB129)</f>
        <v>335817.72290836705</v>
      </c>
      <c r="BY130" s="10">
        <f t="shared" si="92"/>
        <v>-1771.438488341636</v>
      </c>
      <c r="BZ130" s="10">
        <f t="shared" si="93"/>
        <v>-1115.673498034442</v>
      </c>
      <c r="CA130" s="10">
        <f t="shared" si="103"/>
        <v>-2887.1119863760778</v>
      </c>
      <c r="CB130" s="10">
        <f t="shared" si="104"/>
        <v>601.2020410418108</v>
      </c>
      <c r="CD130" s="10">
        <f>CD$5+SUM(CE$5:CE129)+SUM(R$5:R129)-SUM(S$5:S129)-SUM(CF$5:CF129)</f>
        <v>393662.2846165427</v>
      </c>
      <c r="CE130" s="10">
        <f t="shared" si="97"/>
        <v>1771.438488341636</v>
      </c>
      <c r="CF130" s="10">
        <f t="shared" si="98"/>
        <v>2285.909945334267</v>
      </c>
      <c r="CG130" s="10">
        <f t="shared" si="99"/>
        <v>514.4714569926309</v>
      </c>
      <c r="CI130" s="44">
        <v>0.4713</v>
      </c>
      <c r="CJ130" s="10">
        <f t="shared" si="100"/>
        <v>-1077.35</v>
      </c>
      <c r="CK130" s="4">
        <f t="shared" si="105"/>
        <v>0</v>
      </c>
      <c r="CM130" s="10">
        <f t="shared" si="106"/>
        <v>-117428.45556382311</v>
      </c>
      <c r="CN130" s="4">
        <f t="shared" si="107"/>
        <v>-501.028077072312</v>
      </c>
    </row>
    <row r="131" spans="1:92" ht="15.75">
      <c r="A131" s="36"/>
      <c r="B131" s="37">
        <v>41091</v>
      </c>
      <c r="C131" s="77">
        <f t="shared" si="85"/>
        <v>3.4884</v>
      </c>
      <c r="D131" s="78">
        <f>C131*(1+Podsumowanie!E$11)</f>
        <v>3.593052</v>
      </c>
      <c r="E131" s="34">
        <f t="shared" si="117"/>
        <v>-618.8010718008787</v>
      </c>
      <c r="F131" s="7">
        <f t="shared" si="138"/>
        <v>-2223.384428636291</v>
      </c>
      <c r="G131" s="7">
        <f t="shared" si="118"/>
        <v>-1364.8189807490128</v>
      </c>
      <c r="H131" s="7">
        <f t="shared" si="139"/>
        <v>858.5654478872782</v>
      </c>
      <c r="I131" s="32"/>
      <c r="J131" s="4" t="str">
        <f t="shared" si="113"/>
        <v xml:space="preserve"> </v>
      </c>
      <c r="K131" s="4">
        <f>IF(B131&lt;Podsumowanie!E$7,0,K130+1)</f>
        <v>61</v>
      </c>
      <c r="L131" s="100">
        <f t="shared" si="86"/>
        <v>0.0011</v>
      </c>
      <c r="M131" s="38">
        <f>L131+Podsumowanie!E$6</f>
        <v>0.0131</v>
      </c>
      <c r="N131" s="101">
        <f>MAX(Podsumowanie!E$4+SUM(AA$5:AA130)-SUM(X$5:X131)+SUM(W$5:W131),0)</f>
        <v>158677.99274020325</v>
      </c>
      <c r="O131" s="102">
        <f>MAX(Podsumowanie!E$2+SUM(V$5:V130)-SUM(S$5:S131)+SUM(R$5:R131),0)</f>
        <v>349977.9592958939</v>
      </c>
      <c r="P131" s="39">
        <f t="shared" si="133"/>
        <v>360</v>
      </c>
      <c r="Q131" s="40" t="str">
        <f>IF(AND(K131&gt;0,K131&lt;=Podsumowanie!E$9),"tak","nie")</f>
        <v>nie</v>
      </c>
      <c r="R131" s="41"/>
      <c r="S131" s="42"/>
      <c r="T131" s="88">
        <f t="shared" si="119"/>
        <v>-382.05927223135086</v>
      </c>
      <c r="U131" s="89">
        <f>IF(Q131="tak",T131,IF(P131-SUM(AB$5:AB131)+1&gt;0,IF(Podsumowanie!E$7&lt;B131,IF(SUM(AB$5:AB131)-Podsumowanie!E$9+1&gt;0,PMT(M131/12,P131+1-SUM(AB$5:AB131),O131),T131),0),0))</f>
        <v>-1364.8189807490128</v>
      </c>
      <c r="V131" s="89">
        <f t="shared" si="143"/>
        <v>-982.7597085176619</v>
      </c>
      <c r="W131" s="90" t="str">
        <f>IF(R131&gt;0,R131/(C131*(1-Podsumowanie!E$11))," ")</f>
        <v xml:space="preserve"> </v>
      </c>
      <c r="X131" s="90">
        <f t="shared" si="94"/>
        <v>0</v>
      </c>
      <c r="Y131" s="91">
        <f t="shared" si="112"/>
        <v>-173.22347540805524</v>
      </c>
      <c r="Z131" s="90">
        <f>IF(P131-SUM(AB$5:AB131)+1&gt;0,IF(Podsumowanie!E$7&lt;B131,IF(SUM(AB$5:AB131)-Podsumowanie!E$9+1&gt;0,PMT(M131/12,P131+1-SUM(AB$5:AB131),N131),Y131),0),0)</f>
        <v>-618.8010718008787</v>
      </c>
      <c r="AA131" s="90">
        <f t="shared" si="136"/>
        <v>-445.57759639282347</v>
      </c>
      <c r="AB131" s="8">
        <f>IF(AND(Podsumowanie!E$7&lt;B131,SUM(AB$5:AB130)&lt;P130),1," ")</f>
        <v>1</v>
      </c>
      <c r="AD131" s="51">
        <f>IF(OR(B131&lt;Podsumowanie!E$12,Podsumowanie!E$12=""),-F131+S131,0)</f>
        <v>2223.384428636291</v>
      </c>
      <c r="AE131" s="51">
        <f t="shared" si="95"/>
        <v>0</v>
      </c>
      <c r="AG131" s="10">
        <f>Podsumowanie!E$4-SUM(AI$5:AI130)+SUM(W$42:W131)-SUM(X$42:X131)</f>
        <v>151552.49813555222</v>
      </c>
      <c r="AH131" s="10">
        <f t="shared" si="120"/>
        <v>165.44</v>
      </c>
      <c r="AI131" s="10">
        <f t="shared" si="121"/>
        <v>505.17</v>
      </c>
      <c r="AJ131" s="10">
        <f t="shared" si="134"/>
        <v>670.61</v>
      </c>
      <c r="AK131" s="10">
        <f t="shared" si="114"/>
        <v>2409.54</v>
      </c>
      <c r="AL131" s="10">
        <f>Podsumowanie!E$2-SUM(AN$5:AN130)+SUM(R$42:R131)-SUM(S$42:S131)</f>
        <v>334261.61000000004</v>
      </c>
      <c r="AM131" s="10">
        <f t="shared" si="122"/>
        <v>364.9</v>
      </c>
      <c r="AN131" s="10">
        <f t="shared" si="123"/>
        <v>1114.21</v>
      </c>
      <c r="AO131" s="10">
        <f t="shared" si="124"/>
        <v>1479.1100000000001</v>
      </c>
      <c r="AP131" s="10">
        <f t="shared" si="125"/>
        <v>930.4299999999998</v>
      </c>
      <c r="AR131" s="43">
        <f t="shared" si="115"/>
        <v>41091</v>
      </c>
      <c r="AS131" s="11">
        <f>AS$5+SUM(AV$5:AV130)-SUM(X$5:X131)+SUM(W$5:W131)</f>
        <v>153917.65295799714</v>
      </c>
      <c r="AT131" s="10">
        <f t="shared" si="126"/>
        <v>-168.02677114581357</v>
      </c>
      <c r="AU131" s="10">
        <f>IF(AB131=1,IF(Q131="tak",AT131,PMT(M131/12,P131+1-SUM(AB$5:AB131),AS131)),0)</f>
        <v>-600.2370396468523</v>
      </c>
      <c r="AV131" s="10">
        <f t="shared" si="127"/>
        <v>-432.21026850103874</v>
      </c>
      <c r="AW131" s="10">
        <f t="shared" si="128"/>
        <v>-2093.8668891040793</v>
      </c>
      <c r="AY131" s="11">
        <f>AY$5+SUM(BA$5:BA130)+SUM(W$5:W130)-SUM(X$5:X130)</f>
        <v>147005.7871914856</v>
      </c>
      <c r="AZ131" s="11">
        <f t="shared" si="129"/>
        <v>-168.02677114581357</v>
      </c>
      <c r="BA131" s="11">
        <f t="shared" si="130"/>
        <v>-490.02</v>
      </c>
      <c r="BB131" s="11">
        <f t="shared" si="135"/>
        <v>-658.0467711458135</v>
      </c>
      <c r="BC131" s="11">
        <f t="shared" si="116"/>
        <v>-2295.530356465056</v>
      </c>
      <c r="BE131" s="172">
        <f t="shared" si="87"/>
        <v>0.0513</v>
      </c>
      <c r="BF131" s="44">
        <f>BE131+Podsumowanie!$E$6</f>
        <v>0.0633</v>
      </c>
      <c r="BG131" s="11">
        <f>BG$5+SUM(BH$5:BH130)+SUM(R$5:R130)-SUM(S$5:S130)</f>
        <v>372723.9220266519</v>
      </c>
      <c r="BH131" s="10">
        <f t="shared" si="137"/>
        <v>-507.71637229474914</v>
      </c>
      <c r="BI131" s="10">
        <f t="shared" si="132"/>
        <v>-1966.1186886905887</v>
      </c>
      <c r="BJ131" s="10">
        <f>IF(U131&lt;0,PMT(BF131/12,Podsumowanie!E$8-SUM(AB$5:AB131)+1,BG131),0)</f>
        <v>-2473.835060985338</v>
      </c>
      <c r="BL131" s="11">
        <f>BL$5+SUM(BN$5:BN130)+SUM(R$5:R130)-SUM(S$5:S130)</f>
        <v>334261.8384401114</v>
      </c>
      <c r="BM131" s="11">
        <f t="shared" si="140"/>
        <v>-1763.2311977715874</v>
      </c>
      <c r="BN131" s="11">
        <f t="shared" si="141"/>
        <v>-1114.2061281337046</v>
      </c>
      <c r="BO131" s="11">
        <f t="shared" si="142"/>
        <v>-2877.437325905292</v>
      </c>
      <c r="BQ131" s="44">
        <f t="shared" si="91"/>
        <v>0.0634</v>
      </c>
      <c r="BR131" s="11">
        <f>BR$5+SUM(BS$5:BS130)+SUM(R$5:R130)-SUM(S$5:S130)+SUM(BV$5:BV130)</f>
        <v>403717.93377334805</v>
      </c>
      <c r="BS131" s="10">
        <f t="shared" si="101"/>
        <v>-549.0785330162771</v>
      </c>
      <c r="BT131" s="10">
        <f t="shared" si="102"/>
        <v>-2132.9764167691887</v>
      </c>
      <c r="BU131" s="10">
        <f>IF(U131&lt;0,PMT(BQ131/12,Podsumowanie!E$8-SUM(AB$5:AB131)+1,BR131),0)</f>
        <v>-2682.054949785466</v>
      </c>
      <c r="BV131" s="10">
        <f t="shared" si="96"/>
        <v>458.6705211491749</v>
      </c>
      <c r="BX131" s="11">
        <f>BX$5+SUM(BZ$5:BZ130)+SUM(R$5:R130)-SUM(S$5:S130)+SUM(CB$5,CB130)</f>
        <v>334704.98729769094</v>
      </c>
      <c r="BY131" s="10">
        <f t="shared" si="92"/>
        <v>-1768.3580162228002</v>
      </c>
      <c r="BZ131" s="10">
        <f t="shared" si="93"/>
        <v>-1115.6832909923032</v>
      </c>
      <c r="CA131" s="10">
        <f t="shared" si="103"/>
        <v>-2884.041307215103</v>
      </c>
      <c r="CB131" s="10">
        <f t="shared" si="104"/>
        <v>660.6568785788122</v>
      </c>
      <c r="CD131" s="10">
        <f>CD$5+SUM(CE$5:CE130)+SUM(R$5:R130)-SUM(S$5:S130)-SUM(CF$5:CF130)</f>
        <v>393147.8131595501</v>
      </c>
      <c r="CE131" s="10">
        <f t="shared" si="97"/>
        <v>1768.3580162228002</v>
      </c>
      <c r="CF131" s="10">
        <f t="shared" si="98"/>
        <v>2223.384428636291</v>
      </c>
      <c r="CG131" s="10">
        <f t="shared" si="99"/>
        <v>455.0264124134908</v>
      </c>
      <c r="CI131" s="44">
        <v>0.4684</v>
      </c>
      <c r="CJ131" s="10">
        <f t="shared" si="100"/>
        <v>-1041.43</v>
      </c>
      <c r="CK131" s="4">
        <f t="shared" si="105"/>
        <v>0</v>
      </c>
      <c r="CM131" s="10">
        <f t="shared" si="106"/>
        <v>-119651.8399924594</v>
      </c>
      <c r="CN131" s="4">
        <f t="shared" si="107"/>
        <v>-511.5116159677639</v>
      </c>
    </row>
    <row r="132" spans="1:92" ht="15.75">
      <c r="A132" s="36"/>
      <c r="B132" s="37">
        <v>41122</v>
      </c>
      <c r="C132" s="77">
        <f t="shared" si="85"/>
        <v>3.4064</v>
      </c>
      <c r="D132" s="78">
        <f>C132*(1+Podsumowanie!E$11)</f>
        <v>3.508592</v>
      </c>
      <c r="E132" s="34">
        <f t="shared" si="117"/>
        <v>-618.8010718008787</v>
      </c>
      <c r="F132" s="7">
        <f t="shared" si="138"/>
        <v>-2171.1204901119886</v>
      </c>
      <c r="G132" s="7">
        <f t="shared" si="118"/>
        <v>-1364.8189807490128</v>
      </c>
      <c r="H132" s="7">
        <f t="shared" si="139"/>
        <v>806.3015093629758</v>
      </c>
      <c r="I132" s="32"/>
      <c r="J132" s="4" t="str">
        <f t="shared" si="113"/>
        <v xml:space="preserve"> </v>
      </c>
      <c r="K132" s="4">
        <f>IF(B132&lt;Podsumowanie!E$7,0,K131+1)</f>
        <v>62</v>
      </c>
      <c r="L132" s="100">
        <f t="shared" si="86"/>
        <v>0.0011</v>
      </c>
      <c r="M132" s="38">
        <f>L132+Podsumowanie!E$6</f>
        <v>0.0131</v>
      </c>
      <c r="N132" s="101">
        <f>MAX(Podsumowanie!E$4+SUM(AA$5:AA131)-SUM(X$5:X132)+SUM(W$5:W132),0)</f>
        <v>158232.41514381042</v>
      </c>
      <c r="O132" s="102">
        <f>MAX(Podsumowanie!E$2+SUM(V$5:V131)-SUM(S$5:S132)+SUM(R$5:R132),0)</f>
        <v>348995.1995873762</v>
      </c>
      <c r="P132" s="39">
        <f t="shared" si="133"/>
        <v>360</v>
      </c>
      <c r="Q132" s="40" t="str">
        <f>IF(AND(K132&gt;0,K132&lt;=Podsumowanie!E$9),"tak","nie")</f>
        <v>nie</v>
      </c>
      <c r="R132" s="41"/>
      <c r="S132" s="42"/>
      <c r="T132" s="88">
        <f t="shared" si="119"/>
        <v>-380.98642621621906</v>
      </c>
      <c r="U132" s="89">
        <f>IF(Q132="tak",T132,IF(P132-SUM(AB$5:AB132)+1&gt;0,IF(Podsumowanie!E$7&lt;B132,IF(SUM(AB$5:AB132)-Podsumowanie!E$9+1&gt;0,PMT(M132/12,P132+1-SUM(AB$5:AB132),O132),T132),0),0))</f>
        <v>-1364.8189807490128</v>
      </c>
      <c r="V132" s="89">
        <f t="shared" si="143"/>
        <v>-983.8325545327937</v>
      </c>
      <c r="W132" s="90" t="str">
        <f>IF(R132&gt;0,R132/(C132*(1-Podsumowanie!E$11))," ")</f>
        <v xml:space="preserve"> </v>
      </c>
      <c r="X132" s="90">
        <f t="shared" si="94"/>
        <v>0</v>
      </c>
      <c r="Y132" s="91">
        <f t="shared" si="112"/>
        <v>-172.7370531986597</v>
      </c>
      <c r="Z132" s="90">
        <f>IF(P132-SUM(AB$5:AB132)+1&gt;0,IF(Podsumowanie!E$7&lt;B132,IF(SUM(AB$5:AB132)-Podsumowanie!E$9+1&gt;0,PMT(M132/12,P132+1-SUM(AB$5:AB132),N132),Y132),0),0)</f>
        <v>-618.8010718008787</v>
      </c>
      <c r="AA132" s="90">
        <f t="shared" si="136"/>
        <v>-446.064018602219</v>
      </c>
      <c r="AB132" s="8">
        <f>IF(AND(Podsumowanie!E$7&lt;B132,SUM(AB$5:AB131)&lt;P131),1," ")</f>
        <v>1</v>
      </c>
      <c r="AD132" s="51">
        <f>IF(OR(B132&lt;Podsumowanie!E$12,Podsumowanie!E$12=""),-F132+S132,0)</f>
        <v>2171.1204901119886</v>
      </c>
      <c r="AE132" s="51">
        <f t="shared" si="95"/>
        <v>0</v>
      </c>
      <c r="AG132" s="10">
        <f>Podsumowanie!E$4-SUM(AI$5:AI131)+SUM(W$42:W132)-SUM(X$42:X132)</f>
        <v>151047.32813555223</v>
      </c>
      <c r="AH132" s="10">
        <f t="shared" si="120"/>
        <v>164.89</v>
      </c>
      <c r="AI132" s="10">
        <f t="shared" si="121"/>
        <v>505.18</v>
      </c>
      <c r="AJ132" s="10">
        <f t="shared" si="134"/>
        <v>670.0699999999999</v>
      </c>
      <c r="AK132" s="10">
        <f t="shared" si="114"/>
        <v>2351</v>
      </c>
      <c r="AL132" s="10">
        <f>Podsumowanie!E$2-SUM(AN$5:AN131)+SUM(R$42:R132)-SUM(S$42:S132)</f>
        <v>333147.4</v>
      </c>
      <c r="AM132" s="10">
        <f t="shared" si="122"/>
        <v>363.69</v>
      </c>
      <c r="AN132" s="10">
        <f t="shared" si="123"/>
        <v>1114.21</v>
      </c>
      <c r="AO132" s="10">
        <f t="shared" si="124"/>
        <v>1477.9</v>
      </c>
      <c r="AP132" s="10">
        <f t="shared" si="125"/>
        <v>873.0999999999999</v>
      </c>
      <c r="AR132" s="43">
        <f t="shared" si="115"/>
        <v>41122</v>
      </c>
      <c r="AS132" s="11">
        <f>AS$5+SUM(AV$5:AV131)-SUM(X$5:X132)+SUM(W$5:W132)</f>
        <v>153485.4426894961</v>
      </c>
      <c r="AT132" s="10">
        <f t="shared" si="126"/>
        <v>-167.5549416026999</v>
      </c>
      <c r="AU132" s="10">
        <f>IF(AB132=1,IF(Q132="tak",AT132,PMT(M132/12,P132+1-SUM(AB$5:AB132),AS132)),0)</f>
        <v>-600.2370396468523</v>
      </c>
      <c r="AV132" s="10">
        <f t="shared" si="127"/>
        <v>-432.6820980441524</v>
      </c>
      <c r="AW132" s="10">
        <f t="shared" si="128"/>
        <v>-2044.6474518530376</v>
      </c>
      <c r="AY132" s="11">
        <f>AY$5+SUM(BA$5:BA131)+SUM(W$5:W131)-SUM(X$5:X131)</f>
        <v>146515.76719148562</v>
      </c>
      <c r="AZ132" s="11">
        <f t="shared" si="129"/>
        <v>-167.5549416026999</v>
      </c>
      <c r="BA132" s="11">
        <f t="shared" si="130"/>
        <v>-490.02</v>
      </c>
      <c r="BB132" s="11">
        <f t="shared" si="135"/>
        <v>-657.5749416026999</v>
      </c>
      <c r="BC132" s="11">
        <f t="shared" si="116"/>
        <v>-2239.963281075437</v>
      </c>
      <c r="BE132" s="172">
        <f t="shared" si="87"/>
        <v>0.051</v>
      </c>
      <c r="BF132" s="44">
        <f>BE132+Podsumowanie!$E$6</f>
        <v>0.063</v>
      </c>
      <c r="BG132" s="11">
        <f>BG$5+SUM(BH$5:BH131)+SUM(R$5:R131)-SUM(S$5:S131)</f>
        <v>372216.20565435715</v>
      </c>
      <c r="BH132" s="10">
        <f t="shared" si="137"/>
        <v>-512.7778971777595</v>
      </c>
      <c r="BI132" s="10">
        <f t="shared" si="132"/>
        <v>-1954.135079685375</v>
      </c>
      <c r="BJ132" s="10">
        <f>IF(U132&lt;0,PMT(BF132/12,Podsumowanie!E$8-SUM(AB$5:AB132)+1,BG132),0)</f>
        <v>-2466.9129768631346</v>
      </c>
      <c r="BL132" s="11">
        <f>BL$5+SUM(BN$5:BN131)+SUM(R$5:R131)-SUM(S$5:S131)</f>
        <v>333147.6323119777</v>
      </c>
      <c r="BM132" s="11">
        <f t="shared" si="140"/>
        <v>-1749.0250696378828</v>
      </c>
      <c r="BN132" s="11">
        <f t="shared" si="141"/>
        <v>-1114.2061281337046</v>
      </c>
      <c r="BO132" s="11">
        <f t="shared" si="142"/>
        <v>-2863.231197771587</v>
      </c>
      <c r="BQ132" s="44">
        <f t="shared" si="91"/>
        <v>0.06309999999999999</v>
      </c>
      <c r="BR132" s="11">
        <f>BR$5+SUM(BS$5:BS131)+SUM(R$5:R131)-SUM(S$5:S131)+SUM(BV$5:BV131)</f>
        <v>403627.52576148097</v>
      </c>
      <c r="BS132" s="10">
        <f t="shared" si="101"/>
        <v>-555.1886418141567</v>
      </c>
      <c r="BT132" s="10">
        <f t="shared" si="102"/>
        <v>-2122.408072962454</v>
      </c>
      <c r="BU132" s="10">
        <f>IF(U132&lt;0,PMT(BQ132/12,Podsumowanie!E$8-SUM(AB$5:AB132)+1,BR132),0)</f>
        <v>-2677.5967147766105</v>
      </c>
      <c r="BV132" s="10">
        <f t="shared" si="96"/>
        <v>506.4762246646219</v>
      </c>
      <c r="BX132" s="11">
        <f>BX$5+SUM(BZ$5:BZ131)+SUM(R$5:R131)-SUM(S$5:S131)+SUM(CB$5,CB131)</f>
        <v>333648.7588442357</v>
      </c>
      <c r="BY132" s="10">
        <f t="shared" si="92"/>
        <v>-1754.436390255939</v>
      </c>
      <c r="BZ132" s="10">
        <f t="shared" si="93"/>
        <v>-1115.8821366027948</v>
      </c>
      <c r="CA132" s="10">
        <f t="shared" si="103"/>
        <v>-2870.318526858734</v>
      </c>
      <c r="CB132" s="10">
        <f t="shared" si="104"/>
        <v>699.1980367467454</v>
      </c>
      <c r="CD132" s="10">
        <f>CD$5+SUM(CE$5:CE131)+SUM(R$5:R131)-SUM(S$5:S131)-SUM(CF$5:CF131)</f>
        <v>392692.78674713656</v>
      </c>
      <c r="CE132" s="10">
        <f t="shared" si="97"/>
        <v>1754.436390255939</v>
      </c>
      <c r="CF132" s="10">
        <f t="shared" si="98"/>
        <v>2171.1204901119886</v>
      </c>
      <c r="CG132" s="10">
        <f t="shared" si="99"/>
        <v>416.68409985604967</v>
      </c>
      <c r="CI132" s="44">
        <v>0.4757</v>
      </c>
      <c r="CJ132" s="10">
        <f t="shared" si="100"/>
        <v>-1032.8</v>
      </c>
      <c r="CK132" s="4">
        <f t="shared" si="105"/>
        <v>0</v>
      </c>
      <c r="CM132" s="10">
        <f t="shared" si="106"/>
        <v>-121822.96048257139</v>
      </c>
      <c r="CN132" s="4">
        <f t="shared" si="107"/>
        <v>-517.7475820509284</v>
      </c>
    </row>
    <row r="133" spans="1:92" ht="15.75">
      <c r="A133" s="36"/>
      <c r="B133" s="37">
        <v>41153</v>
      </c>
      <c r="C133" s="77">
        <f aca="true" t="shared" si="144" ref="C133:C196">VLOOKUP(B133,Kursy,C$2)</f>
        <v>3.4168</v>
      </c>
      <c r="D133" s="78">
        <f>C133*(1+Podsumowanie!E$11)</f>
        <v>3.519304</v>
      </c>
      <c r="E133" s="34">
        <f t="shared" si="117"/>
        <v>-618.8010718008788</v>
      </c>
      <c r="F133" s="7">
        <f t="shared" si="138"/>
        <v>-2177.74908719312</v>
      </c>
      <c r="G133" s="7">
        <f t="shared" si="118"/>
        <v>-1364.818980749013</v>
      </c>
      <c r="H133" s="7">
        <f t="shared" si="139"/>
        <v>812.930106444107</v>
      </c>
      <c r="I133" s="32"/>
      <c r="J133" s="4" t="str">
        <f t="shared" si="113"/>
        <v xml:space="preserve"> </v>
      </c>
      <c r="K133" s="4">
        <f>IF(B133&lt;Podsumowanie!E$7,0,K132+1)</f>
        <v>63</v>
      </c>
      <c r="L133" s="100">
        <f aca="true" t="shared" si="145" ref="L133:L196">VLOOKUP(B133,Oproc,C$2)</f>
        <v>0.0011</v>
      </c>
      <c r="M133" s="38">
        <f>L133+Podsumowanie!E$6</f>
        <v>0.0131</v>
      </c>
      <c r="N133" s="101">
        <f>MAX(Podsumowanie!E$4+SUM(AA$5:AA132)-SUM(X$5:X133)+SUM(W$5:W133),0)</f>
        <v>157786.3511252082</v>
      </c>
      <c r="O133" s="102">
        <f>MAX(Podsumowanie!E$2+SUM(V$5:V132)-SUM(S$5:S133)+SUM(R$5:R133),0)</f>
        <v>348011.3670328434</v>
      </c>
      <c r="P133" s="39">
        <f t="shared" si="133"/>
        <v>360</v>
      </c>
      <c r="Q133" s="40" t="str">
        <f>IF(AND(K133&gt;0,K133&lt;=Podsumowanie!E$9),"tak","nie")</f>
        <v>nie</v>
      </c>
      <c r="R133" s="41"/>
      <c r="S133" s="42"/>
      <c r="T133" s="88">
        <f t="shared" si="119"/>
        <v>-379.9124090108541</v>
      </c>
      <c r="U133" s="89">
        <f>IF(Q133="tak",T133,IF(P133-SUM(AB$5:AB133)+1&gt;0,IF(Podsumowanie!E$7&lt;B133,IF(SUM(AB$5:AB133)-Podsumowanie!E$9+1&gt;0,PMT(M133/12,P133+1-SUM(AB$5:AB133),O133),T133),0),0))</f>
        <v>-1364.818980749013</v>
      </c>
      <c r="V133" s="89">
        <f t="shared" si="143"/>
        <v>-984.9065717381588</v>
      </c>
      <c r="W133" s="90" t="str">
        <f>IF(R133&gt;0,R133/(C133*(1-Podsumowanie!E$11))," ")</f>
        <v xml:space="preserve"> </v>
      </c>
      <c r="X133" s="90">
        <f t="shared" si="94"/>
        <v>0</v>
      </c>
      <c r="Y133" s="91">
        <f t="shared" si="112"/>
        <v>-172.2500999783523</v>
      </c>
      <c r="Z133" s="90">
        <f>IF(P133-SUM(AB$5:AB133)+1&gt;0,IF(Podsumowanie!E$7&lt;B133,IF(SUM(AB$5:AB133)-Podsumowanie!E$9+1&gt;0,PMT(M133/12,P133+1-SUM(AB$5:AB133),N133),Y133),0),0)</f>
        <v>-618.8010718008788</v>
      </c>
      <c r="AA133" s="90">
        <f t="shared" si="136"/>
        <v>-446.55097182252655</v>
      </c>
      <c r="AB133" s="8">
        <f>IF(AND(Podsumowanie!E$7&lt;B133,SUM(AB$5:AB132)&lt;P132),1," ")</f>
        <v>1</v>
      </c>
      <c r="AD133" s="51">
        <f>IF(OR(B133&lt;Podsumowanie!E$12,Podsumowanie!E$12=""),-F133+S133,0)</f>
        <v>2177.74908719312</v>
      </c>
      <c r="AE133" s="51">
        <f t="shared" si="95"/>
        <v>0</v>
      </c>
      <c r="AG133" s="10">
        <f>Podsumowanie!E$4-SUM(AI$5:AI132)+SUM(W$42:W133)-SUM(X$42:X133)</f>
        <v>150542.1481355522</v>
      </c>
      <c r="AH133" s="10">
        <f t="shared" si="120"/>
        <v>164.34</v>
      </c>
      <c r="AI133" s="10">
        <f t="shared" si="121"/>
        <v>505.17</v>
      </c>
      <c r="AJ133" s="10">
        <f t="shared" si="134"/>
        <v>669.51</v>
      </c>
      <c r="AK133" s="10">
        <f t="shared" si="114"/>
        <v>2356.21</v>
      </c>
      <c r="AL133" s="10">
        <f>Podsumowanie!E$2-SUM(AN$5:AN132)+SUM(R$42:R133)-SUM(S$42:S133)</f>
        <v>332033.19000000006</v>
      </c>
      <c r="AM133" s="10">
        <f t="shared" si="122"/>
        <v>362.47</v>
      </c>
      <c r="AN133" s="10">
        <f t="shared" si="123"/>
        <v>1114.21</v>
      </c>
      <c r="AO133" s="10">
        <f t="shared" si="124"/>
        <v>1476.68</v>
      </c>
      <c r="AP133" s="10">
        <f t="shared" si="125"/>
        <v>879.53</v>
      </c>
      <c r="AR133" s="43">
        <f t="shared" si="115"/>
        <v>41153</v>
      </c>
      <c r="AS133" s="11">
        <f>AS$5+SUM(AV$5:AV132)-SUM(X$5:X133)+SUM(W$5:W133)</f>
        <v>153052.76059145195</v>
      </c>
      <c r="AT133" s="10">
        <f t="shared" si="126"/>
        <v>-167.08259697900172</v>
      </c>
      <c r="AU133" s="10">
        <f>IF(AB133=1,IF(Q133="tak",AT133,PMT(M133/12,P133+1-SUM(AB$5:AB133),AS133)),0)</f>
        <v>-600.2370396468525</v>
      </c>
      <c r="AV133" s="10">
        <f t="shared" si="127"/>
        <v>-433.1544426678508</v>
      </c>
      <c r="AW133" s="10">
        <f t="shared" si="128"/>
        <v>-2050.8899170653654</v>
      </c>
      <c r="AY133" s="11">
        <f>AY$5+SUM(BA$5:BA132)+SUM(W$5:W132)-SUM(X$5:X132)</f>
        <v>146025.7471914856</v>
      </c>
      <c r="AZ133" s="11">
        <f t="shared" si="129"/>
        <v>-167.08259697900172</v>
      </c>
      <c r="BA133" s="11">
        <f t="shared" si="130"/>
        <v>-490.02</v>
      </c>
      <c r="BB133" s="11">
        <f t="shared" si="135"/>
        <v>-657.1025969790016</v>
      </c>
      <c r="BC133" s="11">
        <f t="shared" si="116"/>
        <v>-2245.1881533578526</v>
      </c>
      <c r="BE133" s="172">
        <f aca="true" t="shared" si="146" ref="BE133:BE196">VLOOKUP(B133,Oproc,5)</f>
        <v>0.0495</v>
      </c>
      <c r="BF133" s="44">
        <f>BE133+Podsumowanie!$E$6</f>
        <v>0.0615</v>
      </c>
      <c r="BG133" s="11">
        <f>BG$5+SUM(BH$5:BH132)+SUM(R$5:R132)-SUM(S$5:S132)</f>
        <v>371703.4277571794</v>
      </c>
      <c r="BH133" s="10">
        <f t="shared" si="137"/>
        <v>-527.5377890462657</v>
      </c>
      <c r="BI133" s="10">
        <f t="shared" si="132"/>
        <v>-1904.9800672555446</v>
      </c>
      <c r="BJ133" s="10">
        <f>IF(U133&lt;0,PMT(BF133/12,Podsumowanie!E$8-SUM(AB$5:AB133)+1,BG133),0)</f>
        <v>-2432.5178563018103</v>
      </c>
      <c r="BL133" s="11">
        <f>BL$5+SUM(BN$5:BN132)+SUM(R$5:R132)-SUM(S$5:S132)</f>
        <v>332033.426183844</v>
      </c>
      <c r="BM133" s="11">
        <f t="shared" si="140"/>
        <v>-1701.6713091922004</v>
      </c>
      <c r="BN133" s="11">
        <f t="shared" si="141"/>
        <v>-1114.2061281337046</v>
      </c>
      <c r="BO133" s="11">
        <f t="shared" si="142"/>
        <v>-2815.877437325905</v>
      </c>
      <c r="BQ133" s="44">
        <f aca="true" t="shared" si="147" ref="BQ133:BQ196">BE133+$BQ$4</f>
        <v>0.0616</v>
      </c>
      <c r="BR133" s="11">
        <f>BR$5+SUM(BS$5:BS132)+SUM(R$5:R132)-SUM(S$5:S132)+SUM(BV$5:BV132)</f>
        <v>403578.8133443314</v>
      </c>
      <c r="BS133" s="10">
        <f t="shared" si="101"/>
        <v>-571.8955320889136</v>
      </c>
      <c r="BT133" s="10">
        <f t="shared" si="102"/>
        <v>-2071.704575167568</v>
      </c>
      <c r="BU133" s="10">
        <f>IF(U133&lt;0,PMT(BQ133/12,Podsumowanie!E$8-SUM(AB$5:AB133)+1,BR133),0)</f>
        <v>-2643.6001072564814</v>
      </c>
      <c r="BV133" s="10">
        <f t="shared" si="96"/>
        <v>465.8510200633614</v>
      </c>
      <c r="BX133" s="11">
        <f>BX$5+SUM(BZ$5:BZ132)+SUM(R$5:R132)-SUM(S$5:S132)+SUM(CB$5,CB132)</f>
        <v>332571.4178658008</v>
      </c>
      <c r="BY133" s="10">
        <f aca="true" t="shared" si="148" ref="BY133:BY196">IF(AB133=1,-BQ133*BX133/12,0)</f>
        <v>-1707.199945044444</v>
      </c>
      <c r="BZ133" s="10">
        <f aca="true" t="shared" si="149" ref="BZ133:BZ196">IF(AB133=1,-BX133/(P133-K133+1),0)</f>
        <v>-1116.0114693483247</v>
      </c>
      <c r="CA133" s="10">
        <f t="shared" si="103"/>
        <v>-2823.2114143927683</v>
      </c>
      <c r="CB133" s="10">
        <f t="shared" si="104"/>
        <v>645.4623271996484</v>
      </c>
      <c r="CD133" s="10">
        <f>CD$5+SUM(CE$5:CE132)+SUM(R$5:R132)-SUM(S$5:S132)-SUM(CF$5:CF132)</f>
        <v>392276.10264728055</v>
      </c>
      <c r="CE133" s="10">
        <f t="shared" si="97"/>
        <v>1707.199945044444</v>
      </c>
      <c r="CF133" s="10">
        <f t="shared" si="98"/>
        <v>2177.74908719312</v>
      </c>
      <c r="CG133" s="10">
        <f t="shared" si="99"/>
        <v>470.5491421486761</v>
      </c>
      <c r="CI133" s="44">
        <v>0.4802</v>
      </c>
      <c r="CJ133" s="10">
        <f t="shared" si="100"/>
        <v>-1045.76</v>
      </c>
      <c r="CK133" s="4">
        <f t="shared" si="105"/>
        <v>0</v>
      </c>
      <c r="CM133" s="10">
        <f t="shared" si="106"/>
        <v>-124000.70956976451</v>
      </c>
      <c r="CN133" s="4">
        <f t="shared" si="107"/>
        <v>-511.5029269752786</v>
      </c>
    </row>
    <row r="134" spans="1:92" ht="15.75">
      <c r="A134" s="36"/>
      <c r="B134" s="37">
        <v>41183</v>
      </c>
      <c r="C134" s="77">
        <f t="shared" si="144"/>
        <v>3.3965</v>
      </c>
      <c r="D134" s="78">
        <f>C134*(1+Podsumowanie!E$11)</f>
        <v>3.4983950000000004</v>
      </c>
      <c r="E134" s="34">
        <f t="shared" si="117"/>
        <v>-618.8010718008787</v>
      </c>
      <c r="F134" s="7">
        <f t="shared" si="138"/>
        <v>-2164.8105755828356</v>
      </c>
      <c r="G134" s="7">
        <f t="shared" si="118"/>
        <v>-1364.818980749013</v>
      </c>
      <c r="H134" s="7">
        <f t="shared" si="139"/>
        <v>799.9915948338225</v>
      </c>
      <c r="I134" s="32"/>
      <c r="J134" s="4" t="str">
        <f t="shared" si="113"/>
        <v xml:space="preserve"> </v>
      </c>
      <c r="K134" s="4">
        <f>IF(B134&lt;Podsumowanie!E$7,0,K133+1)</f>
        <v>64</v>
      </c>
      <c r="L134" s="100">
        <f t="shared" si="145"/>
        <v>0.0011</v>
      </c>
      <c r="M134" s="38">
        <f>L134+Podsumowanie!E$6</f>
        <v>0.0131</v>
      </c>
      <c r="N134" s="101">
        <f>MAX(Podsumowanie!E$4+SUM(AA$5:AA133)-SUM(X$5:X134)+SUM(W$5:W134),0)</f>
        <v>157339.80015338567</v>
      </c>
      <c r="O134" s="102">
        <f>MAX(Podsumowanie!E$2+SUM(V$5:V133)-SUM(S$5:S134)+SUM(R$5:R134),0)</f>
        <v>347026.4604611053</v>
      </c>
      <c r="P134" s="39">
        <f t="shared" si="133"/>
        <v>360</v>
      </c>
      <c r="Q134" s="40" t="str">
        <f>IF(AND(K134&gt;0,K134&lt;=Podsumowanie!E$9),"tak","nie")</f>
        <v>nie</v>
      </c>
      <c r="R134" s="41"/>
      <c r="S134" s="42"/>
      <c r="T134" s="88">
        <f t="shared" si="119"/>
        <v>-378.8372193367066</v>
      </c>
      <c r="U134" s="89">
        <f>IF(Q134="tak",T134,IF(P134-SUM(AB$5:AB134)+1&gt;0,IF(Podsumowanie!E$7&lt;B134,IF(SUM(AB$5:AB134)-Podsumowanie!E$9+1&gt;0,PMT(M134/12,P134+1-SUM(AB$5:AB134),O134),T134),0),0))</f>
        <v>-1364.818980749013</v>
      </c>
      <c r="V134" s="89">
        <f t="shared" si="143"/>
        <v>-985.9817614123065</v>
      </c>
      <c r="W134" s="90" t="str">
        <f>IF(R134&gt;0,R134/(C134*(1-Podsumowanie!E$11))," ")</f>
        <v xml:space="preserve"> </v>
      </c>
      <c r="X134" s="90">
        <f aca="true" t="shared" si="150" ref="X134:X197">IF(S134&gt;0,S134/D134,0)</f>
        <v>0</v>
      </c>
      <c r="Y134" s="91">
        <f t="shared" si="112"/>
        <v>-171.76261516744603</v>
      </c>
      <c r="Z134" s="90">
        <f>IF(P134-SUM(AB$5:AB134)+1&gt;0,IF(Podsumowanie!E$7&lt;B134,IF(SUM(AB$5:AB134)-Podsumowanie!E$9+1&gt;0,PMT(M134/12,P134+1-SUM(AB$5:AB134),N134),Y134),0),0)</f>
        <v>-618.8010718008787</v>
      </c>
      <c r="AA134" s="90">
        <f t="shared" si="136"/>
        <v>-447.0384566334327</v>
      </c>
      <c r="AB134" s="8">
        <f>IF(AND(Podsumowanie!E$7&lt;B134,SUM(AB$5:AB133)&lt;P133),1," ")</f>
        <v>1</v>
      </c>
      <c r="AD134" s="51">
        <f>IF(OR(B134&lt;Podsumowanie!E$12,Podsumowanie!E$12=""),-F134+S134,0)</f>
        <v>2164.8105755828356</v>
      </c>
      <c r="AE134" s="51">
        <f aca="true" t="shared" si="151" ref="AE134:AE197">IF(AD134=0,-E134+X134,0)</f>
        <v>0</v>
      </c>
      <c r="AG134" s="10">
        <f>Podsumowanie!E$4-SUM(AI$5:AI133)+SUM(W$42:W134)-SUM(X$42:X134)</f>
        <v>150036.97813555223</v>
      </c>
      <c r="AH134" s="10">
        <f t="shared" si="120"/>
        <v>163.79</v>
      </c>
      <c r="AI134" s="10">
        <f t="shared" si="121"/>
        <v>505.18</v>
      </c>
      <c r="AJ134" s="10">
        <f t="shared" si="134"/>
        <v>668.97</v>
      </c>
      <c r="AK134" s="10">
        <f t="shared" si="114"/>
        <v>2340.32</v>
      </c>
      <c r="AL134" s="10">
        <f>Podsumowanie!E$2-SUM(AN$5:AN133)+SUM(R$42:R134)-SUM(S$42:S134)</f>
        <v>330918.98000000004</v>
      </c>
      <c r="AM134" s="10">
        <f t="shared" si="122"/>
        <v>361.25</v>
      </c>
      <c r="AN134" s="10">
        <f t="shared" si="123"/>
        <v>1114.21</v>
      </c>
      <c r="AO134" s="10">
        <f t="shared" si="124"/>
        <v>1475.46</v>
      </c>
      <c r="AP134" s="10">
        <f t="shared" si="125"/>
        <v>864.8600000000001</v>
      </c>
      <c r="AR134" s="43">
        <f t="shared" si="115"/>
        <v>41183</v>
      </c>
      <c r="AS134" s="11">
        <f>AS$5+SUM(AV$5:AV133)-SUM(X$5:X134)+SUM(W$5:W134)</f>
        <v>152619.6061487841</v>
      </c>
      <c r="AT134" s="10">
        <f t="shared" si="126"/>
        <v>-166.60973671242266</v>
      </c>
      <c r="AU134" s="10">
        <f>IF(AB134=1,IF(Q134="tak",AT134,PMT(M134/12,P134+1-SUM(AB$5:AB134),AS134)),0)</f>
        <v>-600.2370396468525</v>
      </c>
      <c r="AV134" s="10">
        <f t="shared" si="127"/>
        <v>-433.62730293442985</v>
      </c>
      <c r="AW134" s="10">
        <f t="shared" si="128"/>
        <v>-2038.7051051605347</v>
      </c>
      <c r="AY134" s="11">
        <f>AY$5+SUM(BA$5:BA133)+SUM(W$5:W133)-SUM(X$5:X133)</f>
        <v>145535.7271914856</v>
      </c>
      <c r="AZ134" s="11">
        <f t="shared" si="129"/>
        <v>-166.60973671242266</v>
      </c>
      <c r="BA134" s="11">
        <f t="shared" si="130"/>
        <v>-490.02</v>
      </c>
      <c r="BB134" s="11">
        <f t="shared" si="135"/>
        <v>-656.6297367124226</v>
      </c>
      <c r="BC134" s="11">
        <f t="shared" si="116"/>
        <v>-2230.2429007437436</v>
      </c>
      <c r="BE134" s="172">
        <f t="shared" si="146"/>
        <v>0.0482</v>
      </c>
      <c r="BF134" s="44">
        <f>BE134+Podsumowanie!$E$6</f>
        <v>0.060200000000000004</v>
      </c>
      <c r="BG134" s="11">
        <f>BG$5+SUM(BH$5:BH133)+SUM(R$5:R133)-SUM(S$5:S133)</f>
        <v>371175.8899681331</v>
      </c>
      <c r="BH134" s="10">
        <f t="shared" si="137"/>
        <v>-540.8966933705863</v>
      </c>
      <c r="BI134" s="10">
        <f t="shared" si="132"/>
        <v>-1862.0657146734682</v>
      </c>
      <c r="BJ134" s="10">
        <f>IF(U134&lt;0,PMT(BF134/12,Podsumowanie!E$8-SUM(AB$5:AB134)+1,BG134),0)</f>
        <v>-2402.9624080440544</v>
      </c>
      <c r="BL134" s="11">
        <f>BL$5+SUM(BN$5:BN133)+SUM(R$5:R133)-SUM(S$5:S133)</f>
        <v>330919.22005571023</v>
      </c>
      <c r="BM134" s="11">
        <f t="shared" si="140"/>
        <v>-1660.1114206128132</v>
      </c>
      <c r="BN134" s="11">
        <f t="shared" si="141"/>
        <v>-1114.2061281337044</v>
      </c>
      <c r="BO134" s="11">
        <f t="shared" si="142"/>
        <v>-2774.317548746518</v>
      </c>
      <c r="BQ134" s="44">
        <f t="shared" si="147"/>
        <v>0.0603</v>
      </c>
      <c r="BR134" s="11">
        <f>BR$5+SUM(BS$5:BS133)+SUM(R$5:R133)-SUM(S$5:S133)+SUM(BV$5:BV133)</f>
        <v>403472.76883230585</v>
      </c>
      <c r="BS134" s="10">
        <f t="shared" si="101"/>
        <v>-587.0637773032856</v>
      </c>
      <c r="BT134" s="10">
        <f t="shared" si="102"/>
        <v>-2027.4506633823369</v>
      </c>
      <c r="BU134" s="10">
        <f>IF(U134&lt;0,PMT(BQ134/12,Podsumowanie!E$8-SUM(AB$5:AB134)+1,BR134),0)</f>
        <v>-2614.5144406856225</v>
      </c>
      <c r="BV134" s="10">
        <f aca="true" t="shared" si="152" ref="BV134:BV197">F134-BU134</f>
        <v>449.70386510278695</v>
      </c>
      <c r="BX134" s="11">
        <f>BX$5+SUM(BZ$5:BZ133)+SUM(R$5:R133)-SUM(S$5:S133)+SUM(CB$5,CB133)</f>
        <v>331401.67068690533</v>
      </c>
      <c r="BY134" s="10">
        <f t="shared" si="148"/>
        <v>-1665.2933952016992</v>
      </c>
      <c r="BZ134" s="10">
        <f t="shared" si="149"/>
        <v>-1115.8305410333512</v>
      </c>
      <c r="CA134" s="10">
        <f t="shared" si="103"/>
        <v>-2781.1239362350507</v>
      </c>
      <c r="CB134" s="10">
        <f t="shared" si="104"/>
        <v>616.3133606522151</v>
      </c>
      <c r="CD134" s="10">
        <f>CD$5+SUM(CE$5:CE133)+SUM(R$5:R133)-SUM(S$5:S133)-SUM(CF$5:CF133)</f>
        <v>391805.55350513186</v>
      </c>
      <c r="CE134" s="10">
        <f aca="true" t="shared" si="153" ref="CE134:CE197">IF(AB134=1,BQ134*BX134/12,0)</f>
        <v>1665.2933952016992</v>
      </c>
      <c r="CF134" s="10">
        <f aca="true" t="shared" si="154" ref="CF134:CF197">-F134</f>
        <v>2164.8105755828356</v>
      </c>
      <c r="CG134" s="10">
        <f aca="true" t="shared" si="155" ref="CG134:CG197">CF134-CE134</f>
        <v>499.5171803811363</v>
      </c>
      <c r="CI134" s="44">
        <v>0.4787</v>
      </c>
      <c r="CJ134" s="10">
        <f aca="true" t="shared" si="156" ref="CJ134:CJ197">ROUND(CI134*(F134-S134),2)</f>
        <v>-1036.29</v>
      </c>
      <c r="CK134" s="4">
        <f t="shared" si="105"/>
        <v>0</v>
      </c>
      <c r="CM134" s="10">
        <f t="shared" si="106"/>
        <v>-126165.52014534734</v>
      </c>
      <c r="CN134" s="4">
        <f t="shared" si="107"/>
        <v>-506.7648392504785</v>
      </c>
    </row>
    <row r="135" spans="1:92" ht="15.75">
      <c r="A135" s="36"/>
      <c r="B135" s="37">
        <v>41214</v>
      </c>
      <c r="C135" s="77">
        <f t="shared" si="144"/>
        <v>3.431</v>
      </c>
      <c r="D135" s="78">
        <f>C135*(1+Podsumowanie!E$11)</f>
        <v>3.5339300000000002</v>
      </c>
      <c r="E135" s="34">
        <f t="shared" si="117"/>
        <v>-618.8010718008786</v>
      </c>
      <c r="F135" s="7">
        <f t="shared" si="138"/>
        <v>-2186.799671669279</v>
      </c>
      <c r="G135" s="7">
        <f t="shared" si="118"/>
        <v>-1364.8189807490126</v>
      </c>
      <c r="H135" s="7">
        <f t="shared" si="139"/>
        <v>821.9806909202666</v>
      </c>
      <c r="I135" s="32"/>
      <c r="J135" s="4" t="str">
        <f t="shared" si="113"/>
        <v xml:space="preserve"> </v>
      </c>
      <c r="K135" s="4">
        <f>IF(B135&lt;Podsumowanie!E$7,0,K134+1)</f>
        <v>65</v>
      </c>
      <c r="L135" s="100">
        <f t="shared" si="145"/>
        <v>0.0011</v>
      </c>
      <c r="M135" s="38">
        <f>L135+Podsumowanie!E$6</f>
        <v>0.0131</v>
      </c>
      <c r="N135" s="101">
        <f>MAX(Podsumowanie!E$4+SUM(AA$5:AA134)-SUM(X$5:X135)+SUM(W$5:W135),0)</f>
        <v>156892.76169675225</v>
      </c>
      <c r="O135" s="102">
        <f>MAX(Podsumowanie!E$2+SUM(V$5:V134)-SUM(S$5:S135)+SUM(R$5:R135),0)</f>
        <v>346040.47869969293</v>
      </c>
      <c r="P135" s="39">
        <f t="shared" si="133"/>
        <v>360</v>
      </c>
      <c r="Q135" s="40" t="str">
        <f>IF(AND(K135&gt;0,K135&lt;=Podsumowanie!E$9),"tak","nie")</f>
        <v>nie</v>
      </c>
      <c r="R135" s="41"/>
      <c r="S135" s="42"/>
      <c r="T135" s="88">
        <f t="shared" si="119"/>
        <v>-377.76085591383145</v>
      </c>
      <c r="U135" s="89">
        <f>IF(Q135="tak",T135,IF(P135-SUM(AB$5:AB135)+1&gt;0,IF(Podsumowanie!E$7&lt;B135,IF(SUM(AB$5:AB135)-Podsumowanie!E$9+1&gt;0,PMT(M135/12,P135+1-SUM(AB$5:AB135),O135),T135),0),0))</f>
        <v>-1364.8189807490126</v>
      </c>
      <c r="V135" s="89">
        <f t="shared" si="143"/>
        <v>-987.0581248351812</v>
      </c>
      <c r="W135" s="90" t="str">
        <f>IF(R135&gt;0,R135/(C135*(1-Podsumowanie!E$11))," ")</f>
        <v xml:space="preserve"> </v>
      </c>
      <c r="X135" s="90">
        <f t="shared" si="150"/>
        <v>0</v>
      </c>
      <c r="Y135" s="91">
        <f t="shared" si="112"/>
        <v>-171.27459818562122</v>
      </c>
      <c r="Z135" s="90">
        <f>IF(P135-SUM(AB$5:AB135)+1&gt;0,IF(Podsumowanie!E$7&lt;B135,IF(SUM(AB$5:AB135)-Podsumowanie!E$9+1&gt;0,PMT(M135/12,P135+1-SUM(AB$5:AB135),N135),Y135),0),0)</f>
        <v>-618.8010718008786</v>
      </c>
      <c r="AA135" s="90">
        <f t="shared" si="136"/>
        <v>-447.5264736152574</v>
      </c>
      <c r="AB135" s="8">
        <f>IF(AND(Podsumowanie!E$7&lt;B135,SUM(AB$5:AB134)&lt;P134),1," ")</f>
        <v>1</v>
      </c>
      <c r="AD135" s="51">
        <f>IF(OR(B135&lt;Podsumowanie!E$12,Podsumowanie!E$12=""),-F135+S135,0)</f>
        <v>2186.799671669279</v>
      </c>
      <c r="AE135" s="51">
        <f t="shared" si="151"/>
        <v>0</v>
      </c>
      <c r="AG135" s="10">
        <f>Podsumowanie!E$4-SUM(AI$5:AI134)+SUM(W$42:W135)-SUM(X$42:X135)</f>
        <v>149531.7981355522</v>
      </c>
      <c r="AH135" s="10">
        <f t="shared" si="120"/>
        <v>163.24</v>
      </c>
      <c r="AI135" s="10">
        <f t="shared" si="121"/>
        <v>505.17</v>
      </c>
      <c r="AJ135" s="10">
        <f t="shared" si="134"/>
        <v>668.4100000000001</v>
      </c>
      <c r="AK135" s="10">
        <f t="shared" si="114"/>
        <v>2362.11</v>
      </c>
      <c r="AL135" s="10">
        <f>Podsumowanie!E$2-SUM(AN$5:AN134)+SUM(R$42:R135)-SUM(S$42:S135)</f>
        <v>329804.77</v>
      </c>
      <c r="AM135" s="10">
        <f t="shared" si="122"/>
        <v>360.04</v>
      </c>
      <c r="AN135" s="10">
        <f t="shared" si="123"/>
        <v>1114.21</v>
      </c>
      <c r="AO135" s="10">
        <f t="shared" si="124"/>
        <v>1474.25</v>
      </c>
      <c r="AP135" s="10">
        <f t="shared" si="125"/>
        <v>887.8600000000001</v>
      </c>
      <c r="AR135" s="43">
        <f t="shared" si="115"/>
        <v>41214</v>
      </c>
      <c r="AS135" s="11">
        <f>AS$5+SUM(AV$5:AV134)-SUM(X$5:X135)+SUM(W$5:W135)</f>
        <v>152185.97884584966</v>
      </c>
      <c r="AT135" s="10">
        <f t="shared" si="126"/>
        <v>-166.13636024005254</v>
      </c>
      <c r="AU135" s="10">
        <f>IF(AB135=1,IF(Q135="tak",AT135,PMT(M135/12,P135+1-SUM(AB$5:AB135),AS135)),0)</f>
        <v>-600.2370396468522</v>
      </c>
      <c r="AV135" s="10">
        <f t="shared" si="127"/>
        <v>-434.1006794067996</v>
      </c>
      <c r="AW135" s="10">
        <f t="shared" si="128"/>
        <v>-2059.4132830283497</v>
      </c>
      <c r="AY135" s="11">
        <f>AY$5+SUM(BA$5:BA134)+SUM(W$5:W134)-SUM(X$5:X134)</f>
        <v>145045.70719148562</v>
      </c>
      <c r="AZ135" s="11">
        <f t="shared" si="129"/>
        <v>-166.13636024005254</v>
      </c>
      <c r="BA135" s="11">
        <f t="shared" si="130"/>
        <v>-490.02</v>
      </c>
      <c r="BB135" s="11">
        <f t="shared" si="135"/>
        <v>-656.1563602400525</v>
      </c>
      <c r="BC135" s="11">
        <f t="shared" si="116"/>
        <v>-2251.27247198362</v>
      </c>
      <c r="BE135" s="172">
        <f t="shared" si="146"/>
        <v>0.0462</v>
      </c>
      <c r="BF135" s="44">
        <f>BE135+Podsumowanie!$E$6</f>
        <v>0.0582</v>
      </c>
      <c r="BG135" s="11">
        <f>BG$5+SUM(BH$5:BH134)+SUM(R$5:R134)-SUM(S$5:S134)</f>
        <v>370634.9932747625</v>
      </c>
      <c r="BH135" s="10">
        <f t="shared" si="137"/>
        <v>-560.3570004107526</v>
      </c>
      <c r="BI135" s="10">
        <f t="shared" si="132"/>
        <v>-1797.5797173825983</v>
      </c>
      <c r="BJ135" s="10">
        <f>IF(U135&lt;0,PMT(BF135/12,Podsumowanie!E$8-SUM(AB$5:AB135)+1,BG135),0)</f>
        <v>-2357.936717793351</v>
      </c>
      <c r="BL135" s="11">
        <f>BL$5+SUM(BN$5:BN134)+SUM(R$5:R134)-SUM(S$5:S134)</f>
        <v>329805.01392757654</v>
      </c>
      <c r="BM135" s="11">
        <f t="shared" si="140"/>
        <v>-1599.5543175487462</v>
      </c>
      <c r="BN135" s="11">
        <f t="shared" si="141"/>
        <v>-1114.2061281337046</v>
      </c>
      <c r="BO135" s="11">
        <f t="shared" si="142"/>
        <v>-2713.760445682451</v>
      </c>
      <c r="BQ135" s="44">
        <f t="shared" si="147"/>
        <v>0.0583</v>
      </c>
      <c r="BR135" s="11">
        <f>BR$5+SUM(BS$5:BS134)+SUM(R$5:R134)-SUM(S$5:S134)+SUM(BV$5:BV134)</f>
        <v>403335.4089201054</v>
      </c>
      <c r="BS135" s="10">
        <f aca="true" t="shared" si="157" ref="BS135:BS198">IF(BU135&lt;0,BU135-BT135,0)</f>
        <v>-608.8743817467978</v>
      </c>
      <c r="BT135" s="10">
        <f aca="true" t="shared" si="158" ref="BT135:BT198">IF(BU135&lt;0,-BR135*BQ135/12,0)</f>
        <v>-1959.5378616701785</v>
      </c>
      <c r="BU135" s="10">
        <f>IF(U135&lt;0,PMT(BQ135/12,Podsumowanie!E$8-SUM(AB$5:AB135)+1,BR135),0)</f>
        <v>-2568.4122434169763</v>
      </c>
      <c r="BV135" s="10">
        <f t="shared" si="152"/>
        <v>381.6125717476971</v>
      </c>
      <c r="BX135" s="11">
        <f>BX$5+SUM(BZ$5:BZ134)+SUM(R$5:R134)-SUM(S$5:S134)+SUM(CB$5,CB134)</f>
        <v>330256.6911793245</v>
      </c>
      <c r="BY135" s="10">
        <f t="shared" si="148"/>
        <v>-1604.4970913128848</v>
      </c>
      <c r="BZ135" s="10">
        <f t="shared" si="149"/>
        <v>-1115.7320647950153</v>
      </c>
      <c r="CA135" s="10">
        <f aca="true" t="shared" si="159" ref="CA135:CA198">BZ135+BY135</f>
        <v>-2720.2291561079</v>
      </c>
      <c r="CB135" s="10">
        <f aca="true" t="shared" si="160" ref="CB135:CB198">$F135-CA135</f>
        <v>533.4294844386209</v>
      </c>
      <c r="CD135" s="10">
        <f>CD$5+SUM(CE$5:CE134)+SUM(R$5:R134)-SUM(S$5:S134)-SUM(CF$5:CF134)</f>
        <v>391306.03632475075</v>
      </c>
      <c r="CE135" s="10">
        <f t="shared" si="153"/>
        <v>1604.4970913128848</v>
      </c>
      <c r="CF135" s="10">
        <f t="shared" si="154"/>
        <v>2186.799671669279</v>
      </c>
      <c r="CG135" s="10">
        <f t="shared" si="155"/>
        <v>582.3025803563944</v>
      </c>
      <c r="CI135" s="44">
        <v>0.4728</v>
      </c>
      <c r="CJ135" s="10">
        <f t="shared" si="156"/>
        <v>-1033.92</v>
      </c>
      <c r="CK135" s="4">
        <f aca="true" t="shared" si="161" ref="CK135:CK198">ROUND(R135*CI135,2)</f>
        <v>0</v>
      </c>
      <c r="CM135" s="10">
        <f aca="true" t="shared" si="162" ref="CM135:CM198">F135+S135+CM134</f>
        <v>-128352.31981701661</v>
      </c>
      <c r="CN135" s="4">
        <f aca="true" t="shared" si="163" ref="CN135:CN198">CM135*BE135/12</f>
        <v>-494.156431295514</v>
      </c>
    </row>
    <row r="136" spans="1:92" ht="15.75">
      <c r="A136" s="36"/>
      <c r="B136" s="37">
        <v>41244</v>
      </c>
      <c r="C136" s="77">
        <f t="shared" si="144"/>
        <v>3.3871</v>
      </c>
      <c r="D136" s="78">
        <f>C136*(1+Podsumowanie!E$11)</f>
        <v>3.488713</v>
      </c>
      <c r="E136" s="34">
        <f t="shared" si="117"/>
        <v>-618.8010718008787</v>
      </c>
      <c r="F136" s="7">
        <f t="shared" si="138"/>
        <v>-2158.819343605659</v>
      </c>
      <c r="G136" s="7">
        <f t="shared" si="118"/>
        <v>-1364.8189807490128</v>
      </c>
      <c r="H136" s="7">
        <f t="shared" si="139"/>
        <v>794.0003628566462</v>
      </c>
      <c r="I136" s="32"/>
      <c r="J136" s="4" t="str">
        <f t="shared" si="113"/>
        <v xml:space="preserve"> </v>
      </c>
      <c r="K136" s="4">
        <f>IF(B136&lt;Podsumowanie!E$7,0,K135+1)</f>
        <v>66</v>
      </c>
      <c r="L136" s="100">
        <f t="shared" si="145"/>
        <v>0.0011</v>
      </c>
      <c r="M136" s="38">
        <f>L136+Podsumowanie!E$6</f>
        <v>0.0131</v>
      </c>
      <c r="N136" s="101">
        <f>MAX(Podsumowanie!E$4+SUM(AA$5:AA135)-SUM(X$5:X136)+SUM(W$5:W136),0)</f>
        <v>156445.235223137</v>
      </c>
      <c r="O136" s="102">
        <f>MAX(Podsumowanie!E$2+SUM(V$5:V135)-SUM(S$5:S136)+SUM(R$5:R136),0)</f>
        <v>345053.4205748578</v>
      </c>
      <c r="P136" s="39">
        <f t="shared" si="133"/>
        <v>360</v>
      </c>
      <c r="Q136" s="40" t="str">
        <f>IF(AND(K136&gt;0,K136&lt;=Podsumowanie!E$9),"tak","nie")</f>
        <v>nie</v>
      </c>
      <c r="R136" s="41"/>
      <c r="S136" s="42"/>
      <c r="T136" s="88">
        <f t="shared" si="119"/>
        <v>-376.6833174608864</v>
      </c>
      <c r="U136" s="89">
        <f>IF(Q136="tak",T136,IF(P136-SUM(AB$5:AB136)+1&gt;0,IF(Podsumowanie!E$7&lt;B136,IF(SUM(AB$5:AB136)-Podsumowanie!E$9+1&gt;0,PMT(M136/12,P136+1-SUM(AB$5:AB136),O136),T136),0),0))</f>
        <v>-1364.8189807490128</v>
      </c>
      <c r="V136" s="89">
        <f t="shared" si="143"/>
        <v>-988.1356632881264</v>
      </c>
      <c r="W136" s="90" t="str">
        <f>IF(R136&gt;0,R136/(C136*(1-Podsumowanie!E$11))," ")</f>
        <v xml:space="preserve"> </v>
      </c>
      <c r="X136" s="90">
        <f t="shared" si="150"/>
        <v>0</v>
      </c>
      <c r="Y136" s="91">
        <f t="shared" si="112"/>
        <v>-170.78604845192456</v>
      </c>
      <c r="Z136" s="90">
        <f>IF(P136-SUM(AB$5:AB136)+1&gt;0,IF(Podsumowanie!E$7&lt;B136,IF(SUM(AB$5:AB136)-Podsumowanie!E$9+1&gt;0,PMT(M136/12,P136+1-SUM(AB$5:AB136),N136),Y136),0),0)</f>
        <v>-618.8010718008787</v>
      </c>
      <c r="AA136" s="90">
        <f t="shared" si="136"/>
        <v>-448.0150233489542</v>
      </c>
      <c r="AB136" s="8">
        <f>IF(AND(Podsumowanie!E$7&lt;B136,SUM(AB$5:AB135)&lt;P135),1," ")</f>
        <v>1</v>
      </c>
      <c r="AD136" s="51">
        <f>IF(OR(B136&lt;Podsumowanie!E$12,Podsumowanie!E$12=""),-F136+S136,0)</f>
        <v>2158.819343605659</v>
      </c>
      <c r="AE136" s="51">
        <f t="shared" si="151"/>
        <v>0</v>
      </c>
      <c r="AG136" s="10">
        <f>Podsumowanie!E$4-SUM(AI$5:AI135)+SUM(W$42:W136)-SUM(X$42:X136)</f>
        <v>149026.62813555222</v>
      </c>
      <c r="AH136" s="10">
        <f t="shared" si="120"/>
        <v>162.69</v>
      </c>
      <c r="AI136" s="10">
        <f t="shared" si="121"/>
        <v>505.18</v>
      </c>
      <c r="AJ136" s="10">
        <f t="shared" si="134"/>
        <v>667.87</v>
      </c>
      <c r="AK136" s="10">
        <f t="shared" si="114"/>
        <v>2330.01</v>
      </c>
      <c r="AL136" s="10">
        <f>Podsumowanie!E$2-SUM(AN$5:AN135)+SUM(R$42:R136)-SUM(S$42:S136)</f>
        <v>328690.56</v>
      </c>
      <c r="AM136" s="10">
        <f t="shared" si="122"/>
        <v>358.82</v>
      </c>
      <c r="AN136" s="10">
        <f t="shared" si="123"/>
        <v>1114.21</v>
      </c>
      <c r="AO136" s="10">
        <f t="shared" si="124"/>
        <v>1473.03</v>
      </c>
      <c r="AP136" s="10">
        <f t="shared" si="125"/>
        <v>856.9800000000002</v>
      </c>
      <c r="AR136" s="43">
        <f t="shared" si="115"/>
        <v>41244</v>
      </c>
      <c r="AS136" s="11">
        <f>AS$5+SUM(AV$5:AV135)-SUM(X$5:X136)+SUM(W$5:W136)</f>
        <v>151751.87816644285</v>
      </c>
      <c r="AT136" s="10">
        <f t="shared" si="126"/>
        <v>-165.6624669983668</v>
      </c>
      <c r="AU136" s="10">
        <f>IF(AB136=1,IF(Q136="tak",AT136,PMT(M136/12,P136+1-SUM(AB$5:AB136),AS136)),0)</f>
        <v>-600.2370396468522</v>
      </c>
      <c r="AV136" s="10">
        <f t="shared" si="127"/>
        <v>-434.5745726484854</v>
      </c>
      <c r="AW136" s="10">
        <f t="shared" si="128"/>
        <v>-2033.062876987853</v>
      </c>
      <c r="AY136" s="11">
        <f>AY$5+SUM(BA$5:BA135)+SUM(W$5:W135)-SUM(X$5:X135)</f>
        <v>144555.6871914856</v>
      </c>
      <c r="AZ136" s="11">
        <f t="shared" si="129"/>
        <v>-165.6624669983668</v>
      </c>
      <c r="BA136" s="11">
        <f t="shared" si="130"/>
        <v>-490.02</v>
      </c>
      <c r="BB136" s="11">
        <f t="shared" si="135"/>
        <v>-655.6824669983667</v>
      </c>
      <c r="BC136" s="11">
        <f t="shared" si="116"/>
        <v>-2220.862083970168</v>
      </c>
      <c r="BE136" s="172">
        <f t="shared" si="146"/>
        <v>0.0426</v>
      </c>
      <c r="BF136" s="44">
        <f>BE136+Podsumowanie!$E$6</f>
        <v>0.054599999999999996</v>
      </c>
      <c r="BG136" s="11">
        <f>BG$5+SUM(BH$5:BH135)+SUM(R$5:R135)-SUM(S$5:S135)</f>
        <v>370074.6362743518</v>
      </c>
      <c r="BH136" s="10">
        <f t="shared" si="137"/>
        <v>-594.2878484592432</v>
      </c>
      <c r="BI136" s="10">
        <f t="shared" si="132"/>
        <v>-1683.8395950483007</v>
      </c>
      <c r="BJ136" s="10">
        <f>IF(U136&lt;0,PMT(BF136/12,Podsumowanie!E$8-SUM(AB$5:AB136)+1,BG136),0)</f>
        <v>-2278.127443507544</v>
      </c>
      <c r="BL136" s="11">
        <f>BL$5+SUM(BN$5:BN135)+SUM(R$5:R135)-SUM(S$5:S135)</f>
        <v>328690.80779944285</v>
      </c>
      <c r="BM136" s="11">
        <f t="shared" si="140"/>
        <v>-1495.5431754874646</v>
      </c>
      <c r="BN136" s="11">
        <f t="shared" si="141"/>
        <v>-1114.2061281337046</v>
      </c>
      <c r="BO136" s="11">
        <f t="shared" si="142"/>
        <v>-2609.749303621169</v>
      </c>
      <c r="BQ136" s="44">
        <f t="shared" si="147"/>
        <v>0.0547</v>
      </c>
      <c r="BR136" s="11">
        <f>BR$5+SUM(BS$5:BS135)+SUM(R$5:R135)-SUM(S$5:S135)+SUM(BV$5:BV135)</f>
        <v>403108.14711010625</v>
      </c>
      <c r="BS136" s="10">
        <f t="shared" si="157"/>
        <v>-646.3706640675459</v>
      </c>
      <c r="BT136" s="10">
        <f t="shared" si="158"/>
        <v>-1837.5013039102341</v>
      </c>
      <c r="BU136" s="10">
        <f>IF(U136&lt;0,PMT(BQ136/12,Podsumowanie!E$8-SUM(AB$5:AB136)+1,BR136),0)</f>
        <v>-2483.87196797778</v>
      </c>
      <c r="BV136" s="10">
        <f t="shared" si="152"/>
        <v>325.05262437212104</v>
      </c>
      <c r="BX136" s="11">
        <f>BX$5+SUM(BZ$5:BZ135)+SUM(R$5:R135)-SUM(S$5:S135)+SUM(CB$5,CB135)</f>
        <v>329058.07523831597</v>
      </c>
      <c r="BY136" s="10">
        <f t="shared" si="148"/>
        <v>-1499.9563929613234</v>
      </c>
      <c r="BZ136" s="10">
        <f t="shared" si="149"/>
        <v>-1115.451102502766</v>
      </c>
      <c r="CA136" s="10">
        <f t="shared" si="159"/>
        <v>-2615.407495464089</v>
      </c>
      <c r="CB136" s="10">
        <f t="shared" si="160"/>
        <v>456.58815185843014</v>
      </c>
      <c r="CD136" s="10">
        <f>CD$5+SUM(CE$5:CE135)+SUM(R$5:R135)-SUM(S$5:S135)-SUM(CF$5:CF135)</f>
        <v>390723.7337443943</v>
      </c>
      <c r="CE136" s="10">
        <f t="shared" si="153"/>
        <v>1499.9563929613234</v>
      </c>
      <c r="CF136" s="10">
        <f t="shared" si="154"/>
        <v>2158.819343605659</v>
      </c>
      <c r="CG136" s="10">
        <f t="shared" si="155"/>
        <v>658.8629506443356</v>
      </c>
      <c r="CI136" s="44">
        <v>0.4713</v>
      </c>
      <c r="CJ136" s="10">
        <f t="shared" si="156"/>
        <v>-1017.45</v>
      </c>
      <c r="CK136" s="4">
        <f t="shared" si="161"/>
        <v>0</v>
      </c>
      <c r="CM136" s="10">
        <f t="shared" si="162"/>
        <v>-130511.13916062228</v>
      </c>
      <c r="CN136" s="4">
        <f t="shared" si="163"/>
        <v>-463.31454402020904</v>
      </c>
    </row>
    <row r="137" spans="1:92" ht="15.75">
      <c r="A137" s="36">
        <v>2013</v>
      </c>
      <c r="B137" s="37">
        <v>41275</v>
      </c>
      <c r="C137" s="77">
        <f t="shared" si="144"/>
        <v>3.3679</v>
      </c>
      <c r="D137" s="78">
        <f>C137*(1+Podsumowanie!E$11)</f>
        <v>3.4689370000000004</v>
      </c>
      <c r="E137" s="34">
        <f t="shared" si="117"/>
        <v>-611.6107152030976</v>
      </c>
      <c r="F137" s="7">
        <f t="shared" si="138"/>
        <v>-2121.639039564488</v>
      </c>
      <c r="G137" s="7">
        <f t="shared" si="118"/>
        <v>-1348.9600309019393</v>
      </c>
      <c r="H137" s="7">
        <f t="shared" si="139"/>
        <v>772.6790086625488</v>
      </c>
      <c r="I137" s="32"/>
      <c r="J137" s="4" t="str">
        <f aca="true" t="shared" si="164" ref="J137:J173">IF(H137&lt;0,"Ze względu na spadek kursu CHF, rata jest korzystniejsza niż bez klauzuli indeksacyjnej"," ")</f>
        <v xml:space="preserve"> </v>
      </c>
      <c r="K137" s="4">
        <f>IF(B137&lt;Podsumowanie!E$7,0,K136+1)</f>
        <v>67</v>
      </c>
      <c r="L137" s="100">
        <f t="shared" si="145"/>
        <v>0.0001</v>
      </c>
      <c r="M137" s="38">
        <f>L137+Podsumowanie!E$6</f>
        <v>0.0121</v>
      </c>
      <c r="N137" s="101">
        <f>MAX(Podsumowanie!E$4+SUM(AA$5:AA136)-SUM(X$5:X137)+SUM(W$5:W137),0)</f>
        <v>155997.22019978802</v>
      </c>
      <c r="O137" s="102">
        <f>MAX(Podsumowanie!E$2+SUM(V$5:V136)-SUM(S$5:S137)+SUM(R$5:R137),0)</f>
        <v>344065.2849115697</v>
      </c>
      <c r="P137" s="39">
        <f>P136</f>
        <v>360</v>
      </c>
      <c r="Q137" s="40" t="str">
        <f>IF(AND(K137&gt;0,K137&lt;=Podsumowanie!E$9),"tak","nie")</f>
        <v>nie</v>
      </c>
      <c r="R137" s="41"/>
      <c r="S137" s="42"/>
      <c r="T137" s="88">
        <f t="shared" si="119"/>
        <v>-346.93249561916605</v>
      </c>
      <c r="U137" s="89">
        <f>IF(Q137="tak",T137,IF(P137-SUM(AB$5:AB137)+1&gt;0,IF(Podsumowanie!E$7&lt;B137,IF(SUM(AB$5:AB137)-Podsumowanie!E$9+1&gt;0,PMT(M137/12,P137+1-SUM(AB$5:AB137),O137),T137),0),0))</f>
        <v>-1348.9600309019393</v>
      </c>
      <c r="V137" s="89">
        <f t="shared" si="143"/>
        <v>-1002.0275352827732</v>
      </c>
      <c r="W137" s="90" t="str">
        <f>IF(R137&gt;0,R137/(C137*(1-Podsumowanie!E$11))," ")</f>
        <v xml:space="preserve"> </v>
      </c>
      <c r="X137" s="90">
        <f t="shared" si="150"/>
        <v>0</v>
      </c>
      <c r="Y137" s="91">
        <f t="shared" si="112"/>
        <v>-157.29719703478625</v>
      </c>
      <c r="Z137" s="90">
        <f>IF(P137-SUM(AB$5:AB137)+1&gt;0,IF(Podsumowanie!E$7&lt;B137,IF(SUM(AB$5:AB137)-Podsumowanie!E$9+1&gt;0,PMT(M137/12,P137+1-SUM(AB$5:AB137),N137),Y137),0),0)</f>
        <v>-611.6107152030976</v>
      </c>
      <c r="AA137" s="90">
        <f t="shared" si="136"/>
        <v>-454.31351816831136</v>
      </c>
      <c r="AB137" s="8">
        <f>IF(AND(Podsumowanie!E$7&lt;B137,SUM(AB$5:AB136)&lt;P136),1," ")</f>
        <v>1</v>
      </c>
      <c r="AD137" s="51">
        <f>IF(OR(B137&lt;Podsumowanie!E$12,Podsumowanie!E$12=""),-F137+S137,0)</f>
        <v>2121.639039564488</v>
      </c>
      <c r="AE137" s="51">
        <f t="shared" si="151"/>
        <v>0</v>
      </c>
      <c r="AG137" s="10">
        <f>Podsumowanie!E$4-SUM(AI$5:AI136)+SUM(W$42:W137)-SUM(X$42:X137)</f>
        <v>148521.44813555223</v>
      </c>
      <c r="AH137" s="10">
        <f t="shared" si="120"/>
        <v>149.76</v>
      </c>
      <c r="AI137" s="10">
        <f t="shared" si="121"/>
        <v>505.17</v>
      </c>
      <c r="AJ137" s="10">
        <f t="shared" si="134"/>
        <v>654.9300000000001</v>
      </c>
      <c r="AK137" s="10">
        <f aca="true" t="shared" si="165" ref="AK137:AK168">ROUND(AJ137*D137,2)</f>
        <v>2271.91</v>
      </c>
      <c r="AL137" s="10">
        <f>Podsumowanie!E$2-SUM(AN$5:AN136)+SUM(R$42:R137)-SUM(S$42:S137)</f>
        <v>327576.35</v>
      </c>
      <c r="AM137" s="10">
        <f t="shared" si="122"/>
        <v>330.31</v>
      </c>
      <c r="AN137" s="10">
        <f t="shared" si="123"/>
        <v>1114.21</v>
      </c>
      <c r="AO137" s="10">
        <f t="shared" si="124"/>
        <v>1444.52</v>
      </c>
      <c r="AP137" s="10">
        <f t="shared" si="125"/>
        <v>827.3899999999999</v>
      </c>
      <c r="AR137" s="43">
        <f aca="true" t="shared" si="166" ref="AR137:AR168">B137</f>
        <v>41275</v>
      </c>
      <c r="AS137" s="11">
        <f>AS$5+SUM(AV$5:AV136)-SUM(X$5:X137)+SUM(W$5:W137)</f>
        <v>151317.30359379438</v>
      </c>
      <c r="AT137" s="10">
        <f t="shared" si="126"/>
        <v>-152.57828112374267</v>
      </c>
      <c r="AU137" s="10">
        <f>IF(AB137=1,IF(Q137="tak",AT137,PMT(M137/12,P137+1-SUM(AB$5:AB137),AS137)),0)</f>
        <v>-593.2623937470047</v>
      </c>
      <c r="AV137" s="10">
        <f t="shared" si="127"/>
        <v>-440.684112623262</v>
      </c>
      <c r="AW137" s="10">
        <f t="shared" si="128"/>
        <v>-1998.048415900537</v>
      </c>
      <c r="AY137" s="11">
        <f>AY$5+SUM(BA$5:BA136)+SUM(W$5:W136)-SUM(X$5:X136)</f>
        <v>144065.6671914856</v>
      </c>
      <c r="AZ137" s="11">
        <f t="shared" si="129"/>
        <v>-152.57828112374267</v>
      </c>
      <c r="BA137" s="11">
        <f t="shared" si="130"/>
        <v>-490.02</v>
      </c>
      <c r="BB137" s="11">
        <f t="shared" si="135"/>
        <v>-642.5982811237427</v>
      </c>
      <c r="BC137" s="11">
        <f aca="true" t="shared" si="167" ref="BC137:BC168">BB137*C137</f>
        <v>-2164.206750996653</v>
      </c>
      <c r="BE137" s="172">
        <f t="shared" si="146"/>
        <v>0.0403</v>
      </c>
      <c r="BF137" s="44">
        <f>BE137+Podsumowanie!$E$6</f>
        <v>0.0523</v>
      </c>
      <c r="BG137" s="11">
        <f>BG$5+SUM(BH$5:BH136)+SUM(R$5:R136)-SUM(S$5:S136)</f>
        <v>369480.34842589253</v>
      </c>
      <c r="BH137" s="10">
        <f t="shared" si="137"/>
        <v>-617.6575562625899</v>
      </c>
      <c r="BI137" s="10">
        <f t="shared" si="132"/>
        <v>-1610.3185185561815</v>
      </c>
      <c r="BJ137" s="10">
        <f>IF(U137&lt;0,PMT(BF137/12,Podsumowanie!E$8-SUM(AB$5:AB137)+1,BG137),0)</f>
        <v>-2227.9760748187714</v>
      </c>
      <c r="BL137" s="11">
        <f>BL$5+SUM(BN$5:BN136)+SUM(R$5:R136)-SUM(S$5:S136)</f>
        <v>327576.6016713091</v>
      </c>
      <c r="BM137" s="11">
        <f t="shared" si="140"/>
        <v>-1427.688022284122</v>
      </c>
      <c r="BN137" s="11">
        <f t="shared" si="141"/>
        <v>-1114.2061281337044</v>
      </c>
      <c r="BO137" s="11">
        <f t="shared" si="142"/>
        <v>-2541.8941504178265</v>
      </c>
      <c r="BQ137" s="44">
        <f t="shared" si="147"/>
        <v>0.0524</v>
      </c>
      <c r="BR137" s="11">
        <f>BR$5+SUM(BS$5:BS136)+SUM(R$5:R136)-SUM(S$5:S136)+SUM(BV$5:BV136)</f>
        <v>402786.8290704108</v>
      </c>
      <c r="BS137" s="10">
        <f t="shared" si="157"/>
        <v>-672.3435322828022</v>
      </c>
      <c r="BT137" s="10">
        <f t="shared" si="158"/>
        <v>-1758.8358202741274</v>
      </c>
      <c r="BU137" s="10">
        <f>IF(U137&lt;0,PMT(BQ137/12,Podsumowanie!E$8-SUM(AB$5:AB137)+1,BR137),0)</f>
        <v>-2431.1793525569296</v>
      </c>
      <c r="BV137" s="10">
        <f t="shared" si="152"/>
        <v>309.5403129924416</v>
      </c>
      <c r="BX137" s="11">
        <f>BX$5+SUM(BZ$5:BZ136)+SUM(R$5:R136)-SUM(S$5:S136)+SUM(CB$5,CB136)</f>
        <v>327865.782803233</v>
      </c>
      <c r="BY137" s="10">
        <f t="shared" si="148"/>
        <v>-1431.6805849074508</v>
      </c>
      <c r="BZ137" s="10">
        <f t="shared" si="149"/>
        <v>-1115.1897374259627</v>
      </c>
      <c r="CA137" s="10">
        <f t="shared" si="159"/>
        <v>-2546.8703223334132</v>
      </c>
      <c r="CB137" s="10">
        <f t="shared" si="160"/>
        <v>425.2312827689252</v>
      </c>
      <c r="CD137" s="10">
        <f>CD$5+SUM(CE$5:CE136)+SUM(R$5:R136)-SUM(S$5:S136)-SUM(CF$5:CF136)</f>
        <v>390064.87079375</v>
      </c>
      <c r="CE137" s="10">
        <f t="shared" si="153"/>
        <v>1431.6805849074508</v>
      </c>
      <c r="CF137" s="10">
        <f t="shared" si="154"/>
        <v>2121.639039564488</v>
      </c>
      <c r="CG137" s="10">
        <f t="shared" si="155"/>
        <v>689.9584546570372</v>
      </c>
      <c r="CI137" s="44">
        <v>0.4699</v>
      </c>
      <c r="CJ137" s="10">
        <f t="shared" si="156"/>
        <v>-996.96</v>
      </c>
      <c r="CK137" s="4">
        <f t="shared" si="161"/>
        <v>0</v>
      </c>
      <c r="CM137" s="10">
        <f t="shared" si="162"/>
        <v>-132632.77820018676</v>
      </c>
      <c r="CN137" s="4">
        <f t="shared" si="163"/>
        <v>-445.4250801222939</v>
      </c>
    </row>
    <row r="138" spans="1:92" ht="15.75">
      <c r="A138" s="36"/>
      <c r="B138" s="37">
        <v>41306</v>
      </c>
      <c r="C138" s="77">
        <f t="shared" si="144"/>
        <v>3.3924</v>
      </c>
      <c r="D138" s="78">
        <f>C138*(1+Podsumowanie!E$11)</f>
        <v>3.494172</v>
      </c>
      <c r="E138" s="34">
        <f t="shared" si="117"/>
        <v>-611.6107152030977</v>
      </c>
      <c r="F138" s="7">
        <f t="shared" si="138"/>
        <v>-2137.073035962638</v>
      </c>
      <c r="G138" s="7">
        <f t="shared" si="118"/>
        <v>-1348.9600309019397</v>
      </c>
      <c r="H138" s="7">
        <f t="shared" si="139"/>
        <v>788.1130050606985</v>
      </c>
      <c r="I138" s="32"/>
      <c r="J138" s="4" t="str">
        <f t="shared" si="164"/>
        <v xml:space="preserve"> </v>
      </c>
      <c r="K138" s="4">
        <f>IF(B138&lt;Podsumowanie!E$7,0,K137+1)</f>
        <v>68</v>
      </c>
      <c r="L138" s="100">
        <f t="shared" si="145"/>
        <v>0.0001</v>
      </c>
      <c r="M138" s="38">
        <f>L138+Podsumowanie!E$6</f>
        <v>0.0121</v>
      </c>
      <c r="N138" s="101">
        <f>MAX(Podsumowanie!E$4+SUM(AA$5:AA137)-SUM(X$5:X138)+SUM(W$5:W138),0)</f>
        <v>155542.9066816197</v>
      </c>
      <c r="O138" s="102">
        <f>MAX(Podsumowanie!E$2+SUM(V$5:V137)-SUM(S$5:S138)+SUM(R$5:R138),0)</f>
        <v>343063.2573762869</v>
      </c>
      <c r="P138" s="39">
        <f t="shared" si="133"/>
        <v>360</v>
      </c>
      <c r="Q138" s="40" t="str">
        <f>IF(AND(K138&gt;0,K138&lt;=Podsumowanie!E$9),"tak","nie")</f>
        <v>nie</v>
      </c>
      <c r="R138" s="41"/>
      <c r="S138" s="42"/>
      <c r="T138" s="88">
        <f t="shared" si="119"/>
        <v>-345.9221178544226</v>
      </c>
      <c r="U138" s="89">
        <f>IF(Q138="tak",T138,IF(P138-SUM(AB$5:AB138)+1&gt;0,IF(Podsumowanie!E$7&lt;B138,IF(SUM(AB$5:AB138)-Podsumowanie!E$9+1&gt;0,PMT(M138/12,P138+1-SUM(AB$5:AB138),O138),T138),0),0))</f>
        <v>-1348.9600309019397</v>
      </c>
      <c r="V138" s="89">
        <f t="shared" si="143"/>
        <v>-1003.0379130475171</v>
      </c>
      <c r="W138" s="90" t="str">
        <f>IF(R138&gt;0,R138/(C138*(1-Podsumowanie!E$11))," ")</f>
        <v xml:space="preserve"> </v>
      </c>
      <c r="X138" s="90">
        <f t="shared" si="150"/>
        <v>0</v>
      </c>
      <c r="Y138" s="91">
        <f t="shared" si="112"/>
        <v>-156.8390975706332</v>
      </c>
      <c r="Z138" s="90">
        <f>IF(P138-SUM(AB$5:AB138)+1&gt;0,IF(Podsumowanie!E$7&lt;B138,IF(SUM(AB$5:AB138)-Podsumowanie!E$9+1&gt;0,PMT(M138/12,P138+1-SUM(AB$5:AB138),N138),Y138),0),0)</f>
        <v>-611.6107152030977</v>
      </c>
      <c r="AA138" s="90">
        <f t="shared" si="136"/>
        <v>-454.77161763246454</v>
      </c>
      <c r="AB138" s="8">
        <f>IF(AND(Podsumowanie!E$7&lt;B138,SUM(AB$5:AB137)&lt;P137),1," ")</f>
        <v>1</v>
      </c>
      <c r="AD138" s="51">
        <f>IF(OR(B138&lt;Podsumowanie!E$12,Podsumowanie!E$12=""),-F138+S138,0)</f>
        <v>2137.073035962638</v>
      </c>
      <c r="AE138" s="51">
        <f t="shared" si="151"/>
        <v>0</v>
      </c>
      <c r="AG138" s="10">
        <f>Podsumowanie!E$4-SUM(AI$5:AI137)+SUM(W$42:W138)-SUM(X$42:X138)</f>
        <v>148016.27813555222</v>
      </c>
      <c r="AH138" s="10">
        <f t="shared" si="120"/>
        <v>149.25</v>
      </c>
      <c r="AI138" s="10">
        <f t="shared" si="121"/>
        <v>505.18</v>
      </c>
      <c r="AJ138" s="10">
        <f t="shared" si="134"/>
        <v>654.4300000000001</v>
      </c>
      <c r="AK138" s="10">
        <f t="shared" si="165"/>
        <v>2286.69</v>
      </c>
      <c r="AL138" s="10">
        <f>Podsumowanie!E$2-SUM(AN$5:AN137)+SUM(R$42:R138)-SUM(S$42:S138)</f>
        <v>326462.14</v>
      </c>
      <c r="AM138" s="10">
        <f t="shared" si="122"/>
        <v>329.18</v>
      </c>
      <c r="AN138" s="10">
        <f t="shared" si="123"/>
        <v>1114.21</v>
      </c>
      <c r="AO138" s="10">
        <f t="shared" si="124"/>
        <v>1443.39</v>
      </c>
      <c r="AP138" s="10">
        <f t="shared" si="125"/>
        <v>843.3</v>
      </c>
      <c r="AR138" s="43">
        <f t="shared" si="166"/>
        <v>41306</v>
      </c>
      <c r="AS138" s="11">
        <f>AS$5+SUM(AV$5:AV137)-SUM(X$5:X138)+SUM(W$5:W138)</f>
        <v>150876.61948117113</v>
      </c>
      <c r="AT138" s="10">
        <f t="shared" si="126"/>
        <v>-152.13392464351423</v>
      </c>
      <c r="AU138" s="10">
        <f>IF(AB138=1,IF(Q138="tak",AT138,PMT(M138/12,P138+1-SUM(AB$5:AB138),AS138)),0)</f>
        <v>-593.2623937470048</v>
      </c>
      <c r="AV138" s="10">
        <f t="shared" si="127"/>
        <v>-441.1284691034906</v>
      </c>
      <c r="AW138" s="10">
        <f t="shared" si="128"/>
        <v>-2012.583344547339</v>
      </c>
      <c r="AY138" s="11">
        <f>AY$5+SUM(BA$5:BA137)+SUM(W$5:W137)-SUM(X$5:X137)</f>
        <v>143575.6471914856</v>
      </c>
      <c r="AZ138" s="11">
        <f t="shared" si="129"/>
        <v>-152.13392464351423</v>
      </c>
      <c r="BA138" s="11">
        <f t="shared" si="130"/>
        <v>-490.02</v>
      </c>
      <c r="BB138" s="11">
        <f t="shared" si="135"/>
        <v>-642.1539246435142</v>
      </c>
      <c r="BC138" s="11">
        <f t="shared" si="167"/>
        <v>-2178.4429739606576</v>
      </c>
      <c r="BE138" s="172">
        <f t="shared" si="146"/>
        <v>0.038</v>
      </c>
      <c r="BF138" s="44">
        <f>BE138+Podsumowanie!$E$6</f>
        <v>0.05</v>
      </c>
      <c r="BG138" s="11">
        <f>BG$5+SUM(BH$5:BH137)+SUM(R$5:R137)-SUM(S$5:S137)</f>
        <v>368862.69086962997</v>
      </c>
      <c r="BH138" s="10">
        <f t="shared" si="137"/>
        <v>-641.5859969891876</v>
      </c>
      <c r="BI138" s="10">
        <f t="shared" si="132"/>
        <v>-1536.9278786234581</v>
      </c>
      <c r="BJ138" s="10">
        <f>IF(U138&lt;0,PMT(BF138/12,Podsumowanie!E$8-SUM(AB$5:AB138)+1,BG138),0)</f>
        <v>-2178.5138756126457</v>
      </c>
      <c r="BL138" s="11">
        <f>BL$5+SUM(BN$5:BN137)+SUM(R$5:R137)-SUM(S$5:S137)</f>
        <v>326462.3955431754</v>
      </c>
      <c r="BM138" s="11">
        <f t="shared" si="140"/>
        <v>-1360.2599814298976</v>
      </c>
      <c r="BN138" s="11">
        <f t="shared" si="141"/>
        <v>-1114.2061281337044</v>
      </c>
      <c r="BO138" s="11">
        <f t="shared" si="142"/>
        <v>-2474.466109563602</v>
      </c>
      <c r="BQ138" s="44">
        <f t="shared" si="147"/>
        <v>0.0501</v>
      </c>
      <c r="BR138" s="11">
        <f>BR$5+SUM(BS$5:BS137)+SUM(R$5:R137)-SUM(S$5:S137)+SUM(BV$5:BV137)</f>
        <v>402424.0258511205</v>
      </c>
      <c r="BS138" s="10">
        <f t="shared" si="157"/>
        <v>-698.9411390017576</v>
      </c>
      <c r="BT138" s="10">
        <f t="shared" si="158"/>
        <v>-1680.1203079284278</v>
      </c>
      <c r="BU138" s="10">
        <f>IF(U138&lt;0,PMT(BQ138/12,Podsumowanie!E$8-SUM(AB$5:AB138)+1,BR138),0)</f>
        <v>-2379.0614469301854</v>
      </c>
      <c r="BV138" s="10">
        <f t="shared" si="152"/>
        <v>241.98841096754722</v>
      </c>
      <c r="BX138" s="11">
        <f>BX$5+SUM(BZ$5:BZ137)+SUM(R$5:R137)-SUM(S$5:S137)+SUM(CB$5,CB137)</f>
        <v>326719.23619671754</v>
      </c>
      <c r="BY138" s="10">
        <f t="shared" si="148"/>
        <v>-1364.0528111212957</v>
      </c>
      <c r="BZ138" s="10">
        <f t="shared" si="149"/>
        <v>-1115.0827173949403</v>
      </c>
      <c r="CA138" s="10">
        <f t="shared" si="159"/>
        <v>-2479.1355285162363</v>
      </c>
      <c r="CB138" s="10">
        <f t="shared" si="160"/>
        <v>342.0624925535981</v>
      </c>
      <c r="CD138" s="10">
        <f>CD$5+SUM(CE$5:CE137)+SUM(R$5:R137)-SUM(S$5:S137)-SUM(CF$5:CF137)</f>
        <v>389374.91233909293</v>
      </c>
      <c r="CE138" s="10">
        <f t="shared" si="153"/>
        <v>1364.0528111212957</v>
      </c>
      <c r="CF138" s="10">
        <f t="shared" si="154"/>
        <v>2137.073035962638</v>
      </c>
      <c r="CG138" s="10">
        <f t="shared" si="155"/>
        <v>773.0202248413425</v>
      </c>
      <c r="CI138" s="44">
        <v>0.4684</v>
      </c>
      <c r="CJ138" s="10">
        <f t="shared" si="156"/>
        <v>-1001.01</v>
      </c>
      <c r="CK138" s="4">
        <f t="shared" si="161"/>
        <v>0</v>
      </c>
      <c r="CM138" s="10">
        <f t="shared" si="162"/>
        <v>-134769.8512361494</v>
      </c>
      <c r="CN138" s="4">
        <f t="shared" si="163"/>
        <v>-426.7711955811398</v>
      </c>
    </row>
    <row r="139" spans="1:92" ht="15.75">
      <c r="A139" s="36"/>
      <c r="B139" s="37">
        <v>41334</v>
      </c>
      <c r="C139" s="77">
        <f t="shared" si="144"/>
        <v>3.3908</v>
      </c>
      <c r="D139" s="78">
        <f>C139*(1+Podsumowanie!E$11)</f>
        <v>3.492524</v>
      </c>
      <c r="E139" s="34">
        <f t="shared" si="117"/>
        <v>-611.6107152030978</v>
      </c>
      <c r="F139" s="7">
        <f t="shared" si="138"/>
        <v>-2136.065101503984</v>
      </c>
      <c r="G139" s="7">
        <f t="shared" si="118"/>
        <v>-1348.9600309019397</v>
      </c>
      <c r="H139" s="7">
        <f t="shared" si="139"/>
        <v>787.1050706020442</v>
      </c>
      <c r="I139" s="32"/>
      <c r="J139" s="4" t="str">
        <f t="shared" si="164"/>
        <v xml:space="preserve"> </v>
      </c>
      <c r="K139" s="4">
        <f>IF(B139&lt;Podsumowanie!E$7,0,K138+1)</f>
        <v>69</v>
      </c>
      <c r="L139" s="100">
        <f t="shared" si="145"/>
        <v>0.0001</v>
      </c>
      <c r="M139" s="38">
        <f>L139+Podsumowanie!E$6</f>
        <v>0.0121</v>
      </c>
      <c r="N139" s="101">
        <f>MAX(Podsumowanie!E$4+SUM(AA$5:AA138)-SUM(X$5:X139)+SUM(W$5:W139),0)</f>
        <v>155088.13506398725</v>
      </c>
      <c r="O139" s="102">
        <f>MAX(Podsumowanie!E$2+SUM(V$5:V138)-SUM(S$5:S139)+SUM(R$5:R139),0)</f>
        <v>342060.21946323937</v>
      </c>
      <c r="P139" s="39">
        <f t="shared" si="133"/>
        <v>360</v>
      </c>
      <c r="Q139" s="40" t="str">
        <f>IF(AND(K139&gt;0,K139&lt;=Podsumowanie!E$9),"tak","nie")</f>
        <v>nie</v>
      </c>
      <c r="R139" s="41"/>
      <c r="S139" s="42"/>
      <c r="T139" s="88">
        <f t="shared" si="119"/>
        <v>-344.91072129209965</v>
      </c>
      <c r="U139" s="89">
        <f>IF(Q139="tak",T139,IF(P139-SUM(AB$5:AB139)+1&gt;0,IF(Podsumowanie!E$7&lt;B139,IF(SUM(AB$5:AB139)-Podsumowanie!E$9+1&gt;0,PMT(M139/12,P139+1-SUM(AB$5:AB139),O139),T139),0),0))</f>
        <v>-1348.9600309019397</v>
      </c>
      <c r="V139" s="89">
        <f t="shared" si="143"/>
        <v>-1004.0493096098401</v>
      </c>
      <c r="W139" s="90" t="str">
        <f>IF(R139&gt;0,R139/(C139*(1-Podsumowanie!E$11))," ")</f>
        <v xml:space="preserve"> </v>
      </c>
      <c r="X139" s="90">
        <f t="shared" si="150"/>
        <v>0</v>
      </c>
      <c r="Y139" s="91">
        <f t="shared" si="112"/>
        <v>-156.38053618952048</v>
      </c>
      <c r="Z139" s="90">
        <f>IF(P139-SUM(AB$5:AB139)+1&gt;0,IF(Podsumowanie!E$7&lt;B139,IF(SUM(AB$5:AB139)-Podsumowanie!E$9+1&gt;0,PMT(M139/12,P139+1-SUM(AB$5:AB139),N139),Y139),0),0)</f>
        <v>-611.6107152030978</v>
      </c>
      <c r="AA139" s="90">
        <f t="shared" si="136"/>
        <v>-455.2301790135773</v>
      </c>
      <c r="AB139" s="8">
        <f>IF(AND(Podsumowanie!E$7&lt;B139,SUM(AB$5:AB138)&lt;P138),1," ")</f>
        <v>1</v>
      </c>
      <c r="AD139" s="51">
        <f>IF(OR(B139&lt;Podsumowanie!E$12,Podsumowanie!E$12=""),-F139+S139,0)</f>
        <v>2136.065101503984</v>
      </c>
      <c r="AE139" s="51">
        <f t="shared" si="151"/>
        <v>0</v>
      </c>
      <c r="AG139" s="10">
        <f>Podsumowanie!E$4-SUM(AI$5:AI138)+SUM(W$42:W139)-SUM(X$42:X139)</f>
        <v>147511.09813555222</v>
      </c>
      <c r="AH139" s="10">
        <f t="shared" si="120"/>
        <v>148.74</v>
      </c>
      <c r="AI139" s="10">
        <f t="shared" si="121"/>
        <v>505.17</v>
      </c>
      <c r="AJ139" s="10">
        <f t="shared" si="134"/>
        <v>653.9100000000001</v>
      </c>
      <c r="AK139" s="10">
        <f t="shared" si="165"/>
        <v>2283.8</v>
      </c>
      <c r="AL139" s="10">
        <f>Podsumowanie!E$2-SUM(AN$5:AN138)+SUM(R$42:R139)-SUM(S$42:S139)</f>
        <v>325347.93</v>
      </c>
      <c r="AM139" s="10">
        <f t="shared" si="122"/>
        <v>328.06</v>
      </c>
      <c r="AN139" s="10">
        <f t="shared" si="123"/>
        <v>1114.21</v>
      </c>
      <c r="AO139" s="10">
        <f t="shared" si="124"/>
        <v>1442.27</v>
      </c>
      <c r="AP139" s="10">
        <f t="shared" si="125"/>
        <v>841.5300000000002</v>
      </c>
      <c r="AR139" s="43">
        <f t="shared" si="166"/>
        <v>41334</v>
      </c>
      <c r="AS139" s="11">
        <f>AS$5+SUM(AV$5:AV138)-SUM(X$5:X139)+SUM(W$5:W139)</f>
        <v>150435.49101206762</v>
      </c>
      <c r="AT139" s="10">
        <f t="shared" si="126"/>
        <v>-151.68912010383485</v>
      </c>
      <c r="AU139" s="10">
        <f>IF(AB139=1,IF(Q139="tak",AT139,PMT(M139/12,P139+1-SUM(AB$5:AB139),AS139)),0)</f>
        <v>-593.2623937470048</v>
      </c>
      <c r="AV139" s="10">
        <f t="shared" si="127"/>
        <v>-441.57327364316995</v>
      </c>
      <c r="AW139" s="10">
        <f t="shared" si="128"/>
        <v>-2011.6341247173439</v>
      </c>
      <c r="AY139" s="11">
        <f>AY$5+SUM(BA$5:BA138)+SUM(W$5:W138)-SUM(X$5:X138)</f>
        <v>143085.6271914856</v>
      </c>
      <c r="AZ139" s="11">
        <f t="shared" si="129"/>
        <v>-151.68912010383485</v>
      </c>
      <c r="BA139" s="11">
        <f t="shared" si="130"/>
        <v>-490.02</v>
      </c>
      <c r="BB139" s="11">
        <f t="shared" si="135"/>
        <v>-641.7091201038348</v>
      </c>
      <c r="BC139" s="11">
        <f t="shared" si="167"/>
        <v>-2175.9072844480834</v>
      </c>
      <c r="BE139" s="172">
        <f t="shared" si="146"/>
        <v>0.0348</v>
      </c>
      <c r="BF139" s="44">
        <f>BE139+Podsumowanie!$E$6</f>
        <v>0.046799999999999994</v>
      </c>
      <c r="BG139" s="11">
        <f>BG$5+SUM(BH$5:BH138)+SUM(R$5:R138)-SUM(S$5:S138)</f>
        <v>368221.1048726408</v>
      </c>
      <c r="BH139" s="10">
        <f t="shared" si="137"/>
        <v>-674.7583008051286</v>
      </c>
      <c r="BI139" s="10">
        <f t="shared" si="132"/>
        <v>-1436.0623090032989</v>
      </c>
      <c r="BJ139" s="10">
        <f>IF(U139&lt;0,PMT(BF139/12,Podsumowanie!E$8-SUM(AB$5:AB139)+1,BG139),0)</f>
        <v>-2110.8206098084274</v>
      </c>
      <c r="BL139" s="11">
        <f>BL$5+SUM(BN$5:BN138)+SUM(R$5:R138)-SUM(S$5:S138)</f>
        <v>325348.1894150417</v>
      </c>
      <c r="BM139" s="11">
        <f t="shared" si="140"/>
        <v>-1268.8579387186626</v>
      </c>
      <c r="BN139" s="11">
        <f t="shared" si="141"/>
        <v>-1114.2061281337044</v>
      </c>
      <c r="BO139" s="11">
        <f t="shared" si="142"/>
        <v>-2383.064066852367</v>
      </c>
      <c r="BQ139" s="44">
        <f t="shared" si="147"/>
        <v>0.0469</v>
      </c>
      <c r="BR139" s="11">
        <f>BR$5+SUM(BS$5:BS138)+SUM(R$5:R138)-SUM(S$5:S138)+SUM(BV$5:BV138)</f>
        <v>401967.07312308624</v>
      </c>
      <c r="BS139" s="10">
        <f t="shared" si="157"/>
        <v>-735.5383567954134</v>
      </c>
      <c r="BT139" s="10">
        <f t="shared" si="158"/>
        <v>-1571.0213107893953</v>
      </c>
      <c r="BU139" s="10">
        <f>IF(U139&lt;0,PMT(BQ139/12,Podsumowanie!E$8-SUM(AB$5:AB139)+1,BR139),0)</f>
        <v>-2306.5596675848087</v>
      </c>
      <c r="BV139" s="10">
        <f t="shared" si="152"/>
        <v>170.49456608082482</v>
      </c>
      <c r="BX139" s="11">
        <f>BX$5+SUM(BZ$5:BZ138)+SUM(R$5:R138)-SUM(S$5:S138)+SUM(CB$5,CB138)</f>
        <v>325520.9846891073</v>
      </c>
      <c r="BY139" s="10">
        <f t="shared" si="148"/>
        <v>-1272.2445151599275</v>
      </c>
      <c r="BZ139" s="10">
        <f t="shared" si="149"/>
        <v>-1114.7978927709153</v>
      </c>
      <c r="CA139" s="10">
        <f t="shared" si="159"/>
        <v>-2387.0424079308427</v>
      </c>
      <c r="CB139" s="10">
        <f t="shared" si="160"/>
        <v>250.97730642685883</v>
      </c>
      <c r="CD139" s="10">
        <f>CD$5+SUM(CE$5:CE138)+SUM(R$5:R138)-SUM(S$5:S138)-SUM(CF$5:CF138)</f>
        <v>388601.8921142516</v>
      </c>
      <c r="CE139" s="10">
        <f t="shared" si="153"/>
        <v>1272.2445151599275</v>
      </c>
      <c r="CF139" s="10">
        <f t="shared" si="154"/>
        <v>2136.065101503984</v>
      </c>
      <c r="CG139" s="10">
        <f t="shared" si="155"/>
        <v>863.8205863440564</v>
      </c>
      <c r="CI139" s="44">
        <v>0.4684</v>
      </c>
      <c r="CJ139" s="10">
        <f t="shared" si="156"/>
        <v>-1000.53</v>
      </c>
      <c r="CK139" s="4">
        <f t="shared" si="161"/>
        <v>0</v>
      </c>
      <c r="CM139" s="10">
        <f t="shared" si="162"/>
        <v>-136905.91633765338</v>
      </c>
      <c r="CN139" s="4">
        <f t="shared" si="163"/>
        <v>-397.02715737919476</v>
      </c>
    </row>
    <row r="140" spans="1:92" ht="15.75">
      <c r="A140" s="36"/>
      <c r="B140" s="37">
        <v>41365</v>
      </c>
      <c r="C140" s="77">
        <f t="shared" si="144"/>
        <v>3.3946</v>
      </c>
      <c r="D140" s="78">
        <f>C140*(1+Podsumowanie!E$11)</f>
        <v>3.496438</v>
      </c>
      <c r="E140" s="34">
        <f t="shared" si="117"/>
        <v>-611.6107152030977</v>
      </c>
      <c r="F140" s="7">
        <f t="shared" si="138"/>
        <v>-2138.4589458432883</v>
      </c>
      <c r="G140" s="7">
        <f t="shared" si="118"/>
        <v>-1348.9600309019397</v>
      </c>
      <c r="H140" s="7">
        <f t="shared" si="139"/>
        <v>789.4989149413486</v>
      </c>
      <c r="I140" s="32"/>
      <c r="J140" s="4" t="str">
        <f t="shared" si="164"/>
        <v xml:space="preserve"> </v>
      </c>
      <c r="K140" s="4">
        <f>IF(B140&lt;Podsumowanie!E$7,0,K139+1)</f>
        <v>70</v>
      </c>
      <c r="L140" s="100">
        <f t="shared" si="145"/>
        <v>0.0001</v>
      </c>
      <c r="M140" s="38">
        <f>L140+Podsumowanie!E$6</f>
        <v>0.0121</v>
      </c>
      <c r="N140" s="101">
        <f>MAX(Podsumowanie!E$4+SUM(AA$5:AA139)-SUM(X$5:X140)+SUM(W$5:W140),0)</f>
        <v>154632.90488497366</v>
      </c>
      <c r="O140" s="102">
        <f>MAX(Podsumowanie!E$2+SUM(V$5:V139)-SUM(S$5:S140)+SUM(R$5:R140),0)</f>
        <v>341056.1701536295</v>
      </c>
      <c r="P140" s="39">
        <f t="shared" si="133"/>
        <v>360</v>
      </c>
      <c r="Q140" s="40" t="str">
        <f>IF(AND(K140&gt;0,K140&lt;=Podsumowanie!E$9),"tak","nie")</f>
        <v>nie</v>
      </c>
      <c r="R140" s="41"/>
      <c r="S140" s="42"/>
      <c r="T140" s="88">
        <f t="shared" si="119"/>
        <v>-343.89830490490976</v>
      </c>
      <c r="U140" s="89">
        <f>IF(Q140="tak",T140,IF(P140-SUM(AB$5:AB140)+1&gt;0,IF(Podsumowanie!E$7&lt;B140,IF(SUM(AB$5:AB140)-Podsumowanie!E$9+1&gt;0,PMT(M140/12,P140+1-SUM(AB$5:AB140),O140),T140),0),0))</f>
        <v>-1348.9600309019397</v>
      </c>
      <c r="V140" s="89">
        <f t="shared" si="143"/>
        <v>-1005.06172599703</v>
      </c>
      <c r="W140" s="90" t="str">
        <f>IF(R140&gt;0,R140/(C140*(1-Podsumowanie!E$11))," ")</f>
        <v xml:space="preserve"> </v>
      </c>
      <c r="X140" s="90">
        <f t="shared" si="150"/>
        <v>0</v>
      </c>
      <c r="Y140" s="91">
        <f t="shared" si="112"/>
        <v>-155.92151242568175</v>
      </c>
      <c r="Z140" s="90">
        <f>IF(P140-SUM(AB$5:AB140)+1&gt;0,IF(Podsumowanie!E$7&lt;B140,IF(SUM(AB$5:AB140)-Podsumowanie!E$9+1&gt;0,PMT(M140/12,P140+1-SUM(AB$5:AB140),N140),Y140),0),0)</f>
        <v>-611.6107152030977</v>
      </c>
      <c r="AA140" s="90">
        <f t="shared" si="136"/>
        <v>-455.68920277741597</v>
      </c>
      <c r="AB140" s="8">
        <f>IF(AND(Podsumowanie!E$7&lt;B140,SUM(AB$5:AB139)&lt;P139),1," ")</f>
        <v>1</v>
      </c>
      <c r="AD140" s="51">
        <f>IF(OR(B140&lt;Podsumowanie!E$12,Podsumowanie!E$12=""),-F140+S140,0)</f>
        <v>2138.4589458432883</v>
      </c>
      <c r="AE140" s="51">
        <f t="shared" si="151"/>
        <v>0</v>
      </c>
      <c r="AG140" s="10">
        <f>Podsumowanie!E$4-SUM(AI$5:AI139)+SUM(W$42:W140)-SUM(X$42:X140)</f>
        <v>147005.9281355522</v>
      </c>
      <c r="AH140" s="10">
        <f t="shared" si="120"/>
        <v>148.23</v>
      </c>
      <c r="AI140" s="10">
        <f t="shared" si="121"/>
        <v>505.18</v>
      </c>
      <c r="AJ140" s="10">
        <f t="shared" si="134"/>
        <v>653.41</v>
      </c>
      <c r="AK140" s="10">
        <f t="shared" si="165"/>
        <v>2284.61</v>
      </c>
      <c r="AL140" s="10">
        <f>Podsumowanie!E$2-SUM(AN$5:AN139)+SUM(R$42:R140)-SUM(S$42:S140)</f>
        <v>324233.72</v>
      </c>
      <c r="AM140" s="10">
        <f t="shared" si="122"/>
        <v>326.94</v>
      </c>
      <c r="AN140" s="10">
        <f t="shared" si="123"/>
        <v>1114.21</v>
      </c>
      <c r="AO140" s="10">
        <f t="shared" si="124"/>
        <v>1441.15</v>
      </c>
      <c r="AP140" s="10">
        <f t="shared" si="125"/>
        <v>843.46</v>
      </c>
      <c r="AR140" s="43">
        <f t="shared" si="166"/>
        <v>41365</v>
      </c>
      <c r="AS140" s="11">
        <f>AS$5+SUM(AV$5:AV139)-SUM(X$5:X140)+SUM(W$5:W140)</f>
        <v>149993.91773842447</v>
      </c>
      <c r="AT140" s="10">
        <f t="shared" si="126"/>
        <v>-151.24386705291133</v>
      </c>
      <c r="AU140" s="10">
        <f>IF(AB140=1,IF(Q140="tak",AT140,PMT(M140/12,P140+1-SUM(AB$5:AB140),AS140)),0)</f>
        <v>-593.2623937470049</v>
      </c>
      <c r="AV140" s="10">
        <f t="shared" si="127"/>
        <v>-442.01852669409357</v>
      </c>
      <c r="AW140" s="10">
        <f t="shared" si="128"/>
        <v>-2013.8885218135829</v>
      </c>
      <c r="AY140" s="11">
        <f>AY$5+SUM(BA$5:BA139)+SUM(W$5:W139)-SUM(X$5:X139)</f>
        <v>142595.60719148561</v>
      </c>
      <c r="AZ140" s="11">
        <f t="shared" si="129"/>
        <v>-151.24386705291133</v>
      </c>
      <c r="BA140" s="11">
        <f t="shared" si="130"/>
        <v>-490.02</v>
      </c>
      <c r="BB140" s="11">
        <f t="shared" si="135"/>
        <v>-641.2638670529113</v>
      </c>
      <c r="BC140" s="11">
        <f t="shared" si="167"/>
        <v>-2176.834323097813</v>
      </c>
      <c r="BE140" s="172">
        <f t="shared" si="146"/>
        <v>0.0329</v>
      </c>
      <c r="BF140" s="44">
        <f>BE140+Podsumowanie!$E$6</f>
        <v>0.044899999999999995</v>
      </c>
      <c r="BG140" s="11">
        <f>BG$5+SUM(BH$5:BH139)+SUM(R$5:R139)-SUM(S$5:S139)</f>
        <v>367546.34657183563</v>
      </c>
      <c r="BH140" s="10">
        <f t="shared" si="137"/>
        <v>-696.0244942709644</v>
      </c>
      <c r="BI140" s="10">
        <f t="shared" si="132"/>
        <v>-1375.2359134229516</v>
      </c>
      <c r="BJ140" s="10">
        <f>IF(U140&lt;0,PMT(BF140/12,Podsumowanie!E$8-SUM(AB$5:AB140)+1,BG140),0)</f>
        <v>-2071.260407693916</v>
      </c>
      <c r="BL140" s="11">
        <f>BL$5+SUM(BN$5:BN139)+SUM(R$5:R139)-SUM(S$5:S139)</f>
        <v>324233.983286908</v>
      </c>
      <c r="BM140" s="11">
        <f t="shared" si="140"/>
        <v>-1213.1754874651808</v>
      </c>
      <c r="BN140" s="11">
        <f t="shared" si="141"/>
        <v>-1114.2061281337046</v>
      </c>
      <c r="BO140" s="11">
        <f t="shared" si="142"/>
        <v>-2327.381615598885</v>
      </c>
      <c r="BQ140" s="44">
        <f t="shared" si="147"/>
        <v>0.045</v>
      </c>
      <c r="BR140" s="11">
        <f>BR$5+SUM(BS$5:BS139)+SUM(R$5:R139)-SUM(S$5:S139)+SUM(BV$5:BV139)</f>
        <v>401402.02933237166</v>
      </c>
      <c r="BS140" s="10">
        <f t="shared" si="157"/>
        <v>-759.0553156609492</v>
      </c>
      <c r="BT140" s="10">
        <f t="shared" si="158"/>
        <v>-1505.2576099963937</v>
      </c>
      <c r="BU140" s="10">
        <f>IF(U140&lt;0,PMT(BQ140/12,Podsumowanie!E$8-SUM(AB$5:AB140)+1,BR140),0)</f>
        <v>-2264.312925657343</v>
      </c>
      <c r="BV140" s="10">
        <f t="shared" si="152"/>
        <v>125.85397981405458</v>
      </c>
      <c r="BX140" s="11">
        <f>BX$5+SUM(BZ$5:BZ139)+SUM(R$5:R139)-SUM(S$5:S139)+SUM(CB$5,CB139)</f>
        <v>324315.1016102096</v>
      </c>
      <c r="BY140" s="10">
        <f t="shared" si="148"/>
        <v>-1216.181631038286</v>
      </c>
      <c r="BZ140" s="10">
        <f t="shared" si="149"/>
        <v>-1114.4848852584523</v>
      </c>
      <c r="CA140" s="10">
        <f t="shared" si="159"/>
        <v>-2330.6665162967383</v>
      </c>
      <c r="CB140" s="10">
        <f t="shared" si="160"/>
        <v>192.20757045345</v>
      </c>
      <c r="CD140" s="10">
        <f>CD$5+SUM(CE$5:CE139)+SUM(R$5:R139)-SUM(S$5:S139)-SUM(CF$5:CF139)</f>
        <v>387738.0715279075</v>
      </c>
      <c r="CE140" s="10">
        <f t="shared" si="153"/>
        <v>1216.181631038286</v>
      </c>
      <c r="CF140" s="10">
        <f t="shared" si="154"/>
        <v>2138.4589458432883</v>
      </c>
      <c r="CG140" s="10">
        <f t="shared" si="155"/>
        <v>922.2773148050023</v>
      </c>
      <c r="CI140" s="44">
        <v>0.4655</v>
      </c>
      <c r="CJ140" s="10">
        <f t="shared" si="156"/>
        <v>-995.45</v>
      </c>
      <c r="CK140" s="4">
        <f t="shared" si="161"/>
        <v>0</v>
      </c>
      <c r="CM140" s="10">
        <f t="shared" si="162"/>
        <v>-139044.37528349666</v>
      </c>
      <c r="CN140" s="4">
        <f t="shared" si="163"/>
        <v>-381.21332890225335</v>
      </c>
    </row>
    <row r="141" spans="1:92" ht="15.75">
      <c r="A141" s="36"/>
      <c r="B141" s="37">
        <v>41395</v>
      </c>
      <c r="C141" s="77">
        <f t="shared" si="144"/>
        <v>3.3653</v>
      </c>
      <c r="D141" s="78">
        <f>C141*(1+Podsumowanie!E$11)</f>
        <v>3.466259</v>
      </c>
      <c r="E141" s="34">
        <f t="shared" si="117"/>
        <v>-611.6107152030977</v>
      </c>
      <c r="F141" s="7">
        <f t="shared" si="138"/>
        <v>-2120.0011460691744</v>
      </c>
      <c r="G141" s="7">
        <f t="shared" si="118"/>
        <v>-1348.9600309019393</v>
      </c>
      <c r="H141" s="7">
        <f t="shared" si="139"/>
        <v>771.0411151672351</v>
      </c>
      <c r="I141" s="32"/>
      <c r="J141" s="4" t="str">
        <f t="shared" si="164"/>
        <v xml:space="preserve"> </v>
      </c>
      <c r="K141" s="4">
        <f>IF(B141&lt;Podsumowanie!E$7,0,K140+1)</f>
        <v>71</v>
      </c>
      <c r="L141" s="100">
        <f t="shared" si="145"/>
        <v>0.0001</v>
      </c>
      <c r="M141" s="38">
        <f>L141+Podsumowanie!E$6</f>
        <v>0.0121</v>
      </c>
      <c r="N141" s="101">
        <f>MAX(Podsumowanie!E$4+SUM(AA$5:AA140)-SUM(X$5:X141)+SUM(W$5:W141),0)</f>
        <v>154177.21568219626</v>
      </c>
      <c r="O141" s="102">
        <f>MAX(Podsumowanie!E$2+SUM(V$5:V140)-SUM(S$5:S141)+SUM(R$5:R141),0)</f>
        <v>340051.1084276325</v>
      </c>
      <c r="P141" s="39">
        <f t="shared" si="133"/>
        <v>360</v>
      </c>
      <c r="Q141" s="40" t="str">
        <f>IF(AND(K141&gt;0,K141&lt;=Podsumowanie!E$9),"tak","nie")</f>
        <v>nie</v>
      </c>
      <c r="R141" s="41"/>
      <c r="S141" s="42"/>
      <c r="T141" s="88">
        <f t="shared" si="119"/>
        <v>-342.8848676645294</v>
      </c>
      <c r="U141" s="89">
        <f>IF(Q141="tak",T141,IF(P141-SUM(AB$5:AB141)+1&gt;0,IF(Podsumowanie!E$7&lt;B141,IF(SUM(AB$5:AB141)-Podsumowanie!E$9+1&gt;0,PMT(M141/12,P141+1-SUM(AB$5:AB141),O141),T141),0),0))</f>
        <v>-1348.9600309019393</v>
      </c>
      <c r="V141" s="89">
        <f t="shared" si="143"/>
        <v>-1006.0751632374099</v>
      </c>
      <c r="W141" s="90" t="str">
        <f>IF(R141&gt;0,R141/(C141*(1-Podsumowanie!E$11))," ")</f>
        <v xml:space="preserve"> </v>
      </c>
      <c r="X141" s="90">
        <f t="shared" si="150"/>
        <v>0</v>
      </c>
      <c r="Y141" s="91">
        <f t="shared" si="112"/>
        <v>-155.46202581288122</v>
      </c>
      <c r="Z141" s="90">
        <f>IF(P141-SUM(AB$5:AB141)+1&gt;0,IF(Podsumowanie!E$7&lt;B141,IF(SUM(AB$5:AB141)-Podsumowanie!E$9+1&gt;0,PMT(M141/12,P141+1-SUM(AB$5:AB141),N141),Y141),0),0)</f>
        <v>-611.6107152030977</v>
      </c>
      <c r="AA141" s="90">
        <f t="shared" si="136"/>
        <v>-456.1486893902165</v>
      </c>
      <c r="AB141" s="8">
        <f>IF(AND(Podsumowanie!E$7&lt;B141,SUM(AB$5:AB140)&lt;P140),1," ")</f>
        <v>1</v>
      </c>
      <c r="AD141" s="51">
        <f>IF(OR(B141&lt;Podsumowanie!E$12,Podsumowanie!E$12=""),-F141+S141,0)</f>
        <v>2120.0011460691744</v>
      </c>
      <c r="AE141" s="51">
        <f t="shared" si="151"/>
        <v>0</v>
      </c>
      <c r="AG141" s="10">
        <f>Podsumowanie!E$4-SUM(AI$5:AI140)+SUM(W$42:W141)-SUM(X$42:X141)</f>
        <v>146500.74813555222</v>
      </c>
      <c r="AH141" s="10">
        <f t="shared" si="120"/>
        <v>147.72</v>
      </c>
      <c r="AI141" s="10">
        <f t="shared" si="121"/>
        <v>505.17</v>
      </c>
      <c r="AJ141" s="10">
        <f t="shared" si="134"/>
        <v>652.89</v>
      </c>
      <c r="AK141" s="10">
        <f t="shared" si="165"/>
        <v>2263.09</v>
      </c>
      <c r="AL141" s="10">
        <f>Podsumowanie!E$2-SUM(AN$5:AN140)+SUM(R$42:R141)-SUM(S$42:S141)</f>
        <v>323119.51</v>
      </c>
      <c r="AM141" s="10">
        <f t="shared" si="122"/>
        <v>325.81</v>
      </c>
      <c r="AN141" s="10">
        <f t="shared" si="123"/>
        <v>1114.21</v>
      </c>
      <c r="AO141" s="10">
        <f t="shared" si="124"/>
        <v>1440.02</v>
      </c>
      <c r="AP141" s="10">
        <f t="shared" si="125"/>
        <v>823.0700000000002</v>
      </c>
      <c r="AR141" s="43">
        <f t="shared" si="166"/>
        <v>41395</v>
      </c>
      <c r="AS141" s="11">
        <f>AS$5+SUM(AV$5:AV140)-SUM(X$5:X141)+SUM(W$5:W141)</f>
        <v>149551.89921173037</v>
      </c>
      <c r="AT141" s="10">
        <f t="shared" si="126"/>
        <v>-150.79816503849477</v>
      </c>
      <c r="AU141" s="10">
        <f>IF(AB141=1,IF(Q141="tak",AT141,PMT(M141/12,P141+1-SUM(AB$5:AB141),AS141)),0)</f>
        <v>-593.2623937470048</v>
      </c>
      <c r="AV141" s="10">
        <f t="shared" si="127"/>
        <v>-442.46422870851006</v>
      </c>
      <c r="AW141" s="10">
        <f t="shared" si="128"/>
        <v>-1996.5059336767952</v>
      </c>
      <c r="AY141" s="11">
        <f>AY$5+SUM(BA$5:BA140)+SUM(W$5:W140)-SUM(X$5:X140)</f>
        <v>142105.58719148563</v>
      </c>
      <c r="AZ141" s="11">
        <f t="shared" si="129"/>
        <v>-150.79816503849477</v>
      </c>
      <c r="BA141" s="11">
        <f t="shared" si="130"/>
        <v>-490.02</v>
      </c>
      <c r="BB141" s="11">
        <f t="shared" si="135"/>
        <v>-640.8181650384947</v>
      </c>
      <c r="BC141" s="11">
        <f t="shared" si="167"/>
        <v>-2156.5453708040463</v>
      </c>
      <c r="BE141" s="172">
        <f t="shared" si="146"/>
        <v>0.0286</v>
      </c>
      <c r="BF141" s="44">
        <f>BE141+Podsumowanie!$E$6</f>
        <v>0.0406</v>
      </c>
      <c r="BG141" s="11">
        <f>BG$5+SUM(BH$5:BH140)+SUM(R$5:R140)-SUM(S$5:S140)</f>
        <v>366850.32207756466</v>
      </c>
      <c r="BH141" s="10">
        <f t="shared" si="137"/>
        <v>-742.2583817701257</v>
      </c>
      <c r="BI141" s="10">
        <f t="shared" si="132"/>
        <v>-1241.1769230290936</v>
      </c>
      <c r="BJ141" s="10">
        <f>IF(U141&lt;0,PMT(BF141/12,Podsumowanie!E$8-SUM(AB$5:AB141)+1,BG141),0)</f>
        <v>-1983.4353047992192</v>
      </c>
      <c r="BL141" s="11">
        <f>BL$5+SUM(BN$5:BN140)+SUM(R$5:R140)-SUM(S$5:S140)</f>
        <v>323119.7771587743</v>
      </c>
      <c r="BM141" s="11">
        <f t="shared" si="140"/>
        <v>-1093.2219127205196</v>
      </c>
      <c r="BN141" s="11">
        <f t="shared" si="141"/>
        <v>-1114.2061281337046</v>
      </c>
      <c r="BO141" s="11">
        <f t="shared" si="142"/>
        <v>-2207.4280408542245</v>
      </c>
      <c r="BQ141" s="44">
        <f t="shared" si="147"/>
        <v>0.0407</v>
      </c>
      <c r="BR141" s="11">
        <f>BR$5+SUM(BS$5:BS140)+SUM(R$5:R140)-SUM(S$5:S140)+SUM(BV$5:BV140)</f>
        <v>400768.8279965248</v>
      </c>
      <c r="BS141" s="10">
        <f t="shared" si="157"/>
        <v>-809.7527324437258</v>
      </c>
      <c r="BT141" s="10">
        <f t="shared" si="158"/>
        <v>-1359.27427495488</v>
      </c>
      <c r="BU141" s="10">
        <f>IF(U141&lt;0,PMT(BQ141/12,Podsumowanie!E$8-SUM(AB$5:AB141)+1,BR141),0)</f>
        <v>-2169.0270073986057</v>
      </c>
      <c r="BV141" s="10">
        <f t="shared" si="152"/>
        <v>49.025861329431336</v>
      </c>
      <c r="BX141" s="11">
        <f>BX$5+SUM(BZ$5:BZ140)+SUM(R$5:R140)-SUM(S$5:S140)+SUM(CB$5,CB140)</f>
        <v>323141.8469889778</v>
      </c>
      <c r="BY141" s="10">
        <f t="shared" si="148"/>
        <v>-1095.9894310376164</v>
      </c>
      <c r="BZ141" s="10">
        <f t="shared" si="149"/>
        <v>-1114.2822309964752</v>
      </c>
      <c r="CA141" s="10">
        <f t="shared" si="159"/>
        <v>-2210.2716620340916</v>
      </c>
      <c r="CB141" s="10">
        <f t="shared" si="160"/>
        <v>90.2705159649172</v>
      </c>
      <c r="CD141" s="10">
        <f>CD$5+SUM(CE$5:CE140)+SUM(R$5:R140)-SUM(S$5:S140)-SUM(CF$5:CF140)</f>
        <v>386815.79421310255</v>
      </c>
      <c r="CE141" s="10">
        <f t="shared" si="153"/>
        <v>1095.9894310376164</v>
      </c>
      <c r="CF141" s="10">
        <f t="shared" si="154"/>
        <v>2120.0011460691744</v>
      </c>
      <c r="CG141" s="10">
        <f t="shared" si="155"/>
        <v>1024.011715031558</v>
      </c>
      <c r="CI141" s="44">
        <v>0.4596</v>
      </c>
      <c r="CJ141" s="10">
        <f t="shared" si="156"/>
        <v>-974.35</v>
      </c>
      <c r="CK141" s="4">
        <f t="shared" si="161"/>
        <v>0</v>
      </c>
      <c r="CM141" s="10">
        <f t="shared" si="162"/>
        <v>-141164.37642956583</v>
      </c>
      <c r="CN141" s="4">
        <f t="shared" si="163"/>
        <v>-336.44176382379857</v>
      </c>
    </row>
    <row r="142" spans="1:92" ht="15.75">
      <c r="A142" s="36"/>
      <c r="B142" s="37">
        <v>41426</v>
      </c>
      <c r="C142" s="77">
        <f t="shared" si="144"/>
        <v>3.4775</v>
      </c>
      <c r="D142" s="78">
        <f>C142*(1+Podsumowanie!E$11)</f>
        <v>3.5818250000000003</v>
      </c>
      <c r="E142" s="34">
        <f t="shared" si="117"/>
        <v>-611.6107152030977</v>
      </c>
      <c r="F142" s="7">
        <f t="shared" si="138"/>
        <v>-2190.682549982336</v>
      </c>
      <c r="G142" s="7">
        <f t="shared" si="118"/>
        <v>-1348.9600309019393</v>
      </c>
      <c r="H142" s="7">
        <f t="shared" si="139"/>
        <v>841.7225190803965</v>
      </c>
      <c r="I142" s="32"/>
      <c r="J142" s="4" t="str">
        <f t="shared" si="164"/>
        <v xml:space="preserve"> </v>
      </c>
      <c r="K142" s="4">
        <f>IF(B142&lt;Podsumowanie!E$7,0,K141+1)</f>
        <v>72</v>
      </c>
      <c r="L142" s="100">
        <f t="shared" si="145"/>
        <v>0.0001</v>
      </c>
      <c r="M142" s="38">
        <f>L142+Podsumowanie!E$6</f>
        <v>0.0121</v>
      </c>
      <c r="N142" s="101">
        <f>MAX(Podsumowanie!E$4+SUM(AA$5:AA141)-SUM(X$5:X142)+SUM(W$5:W142),0)</f>
        <v>153721.06699280604</v>
      </c>
      <c r="O142" s="102">
        <f>MAX(Podsumowanie!E$2+SUM(V$5:V141)-SUM(S$5:S142)+SUM(R$5:R142),0)</f>
        <v>339045.0332643951</v>
      </c>
      <c r="P142" s="39">
        <f t="shared" si="133"/>
        <v>360</v>
      </c>
      <c r="Q142" s="40" t="str">
        <f>IF(AND(K142&gt;0,K142&lt;=Podsumowanie!E$9),"tak","nie")</f>
        <v>nie</v>
      </c>
      <c r="R142" s="41"/>
      <c r="S142" s="42"/>
      <c r="T142" s="88">
        <f t="shared" si="119"/>
        <v>-341.87040854159835</v>
      </c>
      <c r="U142" s="89">
        <f>IF(Q142="tak",T142,IF(P142-SUM(AB$5:AB142)+1&gt;0,IF(Podsumowanie!E$7&lt;B142,IF(SUM(AB$5:AB142)-Podsumowanie!E$9+1&gt;0,PMT(M142/12,P142+1-SUM(AB$5:AB142),O142),T142),0),0))</f>
        <v>-1348.9600309019393</v>
      </c>
      <c r="V142" s="89">
        <f t="shared" si="143"/>
        <v>-1007.0896223603409</v>
      </c>
      <c r="W142" s="90" t="str">
        <f>IF(R142&gt;0,R142/(C142*(1-Podsumowanie!E$11))," ")</f>
        <v xml:space="preserve"> </v>
      </c>
      <c r="X142" s="90">
        <f t="shared" si="150"/>
        <v>0</v>
      </c>
      <c r="Y142" s="91">
        <f t="shared" si="112"/>
        <v>-155.00207588441273</v>
      </c>
      <c r="Z142" s="90">
        <f>IF(P142-SUM(AB$5:AB142)+1&gt;0,IF(Podsumowanie!E$7&lt;B142,IF(SUM(AB$5:AB142)-Podsumowanie!E$9+1&gt;0,PMT(M142/12,P142+1-SUM(AB$5:AB142),N142),Y142),0),0)</f>
        <v>-611.6107152030977</v>
      </c>
      <c r="AA142" s="90">
        <f t="shared" si="136"/>
        <v>-456.60863931868494</v>
      </c>
      <c r="AB142" s="8">
        <f>IF(AND(Podsumowanie!E$7&lt;B142,SUM(AB$5:AB141)&lt;P141),1," ")</f>
        <v>1</v>
      </c>
      <c r="AD142" s="51">
        <f>IF(OR(B142&lt;Podsumowanie!E$12,Podsumowanie!E$12=""),-F142+S142,0)</f>
        <v>2190.682549982336</v>
      </c>
      <c r="AE142" s="51">
        <f t="shared" si="151"/>
        <v>0</v>
      </c>
      <c r="AG142" s="10">
        <f>Podsumowanie!E$4-SUM(AI$5:AI141)+SUM(W$42:W142)-SUM(X$42:X142)</f>
        <v>145995.57813555223</v>
      </c>
      <c r="AH142" s="10">
        <f t="shared" si="120"/>
        <v>147.21</v>
      </c>
      <c r="AI142" s="10">
        <f t="shared" si="121"/>
        <v>505.18</v>
      </c>
      <c r="AJ142" s="10">
        <f t="shared" si="134"/>
        <v>652.39</v>
      </c>
      <c r="AK142" s="10">
        <f t="shared" si="165"/>
        <v>2336.75</v>
      </c>
      <c r="AL142" s="10">
        <f>Podsumowanie!E$2-SUM(AN$5:AN141)+SUM(R$42:R142)-SUM(S$42:S142)</f>
        <v>322005.3</v>
      </c>
      <c r="AM142" s="10">
        <f t="shared" si="122"/>
        <v>324.69</v>
      </c>
      <c r="AN142" s="10">
        <f t="shared" si="123"/>
        <v>1114.21</v>
      </c>
      <c r="AO142" s="10">
        <f t="shared" si="124"/>
        <v>1438.9</v>
      </c>
      <c r="AP142" s="10">
        <f t="shared" si="125"/>
        <v>897.8499999999999</v>
      </c>
      <c r="AR142" s="43">
        <f t="shared" si="166"/>
        <v>41426</v>
      </c>
      <c r="AS142" s="11">
        <f>AS$5+SUM(AV$5:AV141)-SUM(X$5:X142)+SUM(W$5:W142)</f>
        <v>149109.43498302184</v>
      </c>
      <c r="AT142" s="10">
        <f t="shared" si="126"/>
        <v>-150.35201360788037</v>
      </c>
      <c r="AU142" s="10">
        <f>IF(AB142=1,IF(Q142="tak",AT142,PMT(M142/12,P142+1-SUM(AB$5:AB142),AS142)),0)</f>
        <v>-593.2623937470047</v>
      </c>
      <c r="AV142" s="10">
        <f t="shared" si="127"/>
        <v>-442.9103801391243</v>
      </c>
      <c r="AW142" s="10">
        <f t="shared" si="128"/>
        <v>-2063.0699742552088</v>
      </c>
      <c r="AY142" s="11">
        <f>AY$5+SUM(BA$5:BA141)+SUM(W$5:W141)-SUM(X$5:X141)</f>
        <v>141615.5671914856</v>
      </c>
      <c r="AZ142" s="11">
        <f t="shared" si="129"/>
        <v>-150.35201360788037</v>
      </c>
      <c r="BA142" s="11">
        <f t="shared" si="130"/>
        <v>-490.02</v>
      </c>
      <c r="BB142" s="11">
        <f t="shared" si="135"/>
        <v>-640.3720136078804</v>
      </c>
      <c r="BC142" s="11">
        <f t="shared" si="167"/>
        <v>-2226.893677321404</v>
      </c>
      <c r="BE142" s="172">
        <f t="shared" si="146"/>
        <v>0.0274</v>
      </c>
      <c r="BF142" s="44">
        <f>BE142+Podsumowanie!$E$6</f>
        <v>0.039400000000000004</v>
      </c>
      <c r="BG142" s="11">
        <f>BG$5+SUM(BH$5:BH141)+SUM(R$5:R141)-SUM(S$5:S141)</f>
        <v>366108.06369579455</v>
      </c>
      <c r="BH142" s="10">
        <f t="shared" si="137"/>
        <v>-757.3050652392324</v>
      </c>
      <c r="BI142" s="10">
        <f t="shared" si="132"/>
        <v>-1202.0548091345256</v>
      </c>
      <c r="BJ142" s="10">
        <f>IF(U142&lt;0,PMT(BF142/12,Podsumowanie!E$8-SUM(AB$5:AB142)+1,BG142),0)</f>
        <v>-1959.359874373758</v>
      </c>
      <c r="BL142" s="11">
        <f>BL$5+SUM(BN$5:BN141)+SUM(R$5:R141)-SUM(S$5:S141)</f>
        <v>322005.57103064057</v>
      </c>
      <c r="BM142" s="11">
        <f t="shared" si="140"/>
        <v>-1057.2516248839368</v>
      </c>
      <c r="BN142" s="11">
        <f t="shared" si="141"/>
        <v>-1114.2061281337044</v>
      </c>
      <c r="BO142" s="11">
        <f t="shared" si="142"/>
        <v>-2171.457753017641</v>
      </c>
      <c r="BQ142" s="44">
        <f t="shared" si="147"/>
        <v>0.0395</v>
      </c>
      <c r="BR142" s="11">
        <f>BR$5+SUM(BS$5:BS141)+SUM(R$5:R141)-SUM(S$5:S141)+SUM(BV$5:BV141)</f>
        <v>400008.10112541047</v>
      </c>
      <c r="BS142" s="10">
        <f t="shared" si="157"/>
        <v>-826.2802218953423</v>
      </c>
      <c r="BT142" s="10">
        <f t="shared" si="158"/>
        <v>-1316.6933328711427</v>
      </c>
      <c r="BU142" s="10">
        <f>IF(U142&lt;0,PMT(BQ142/12,Podsumowanie!E$8-SUM(AB$5:AB142)+1,BR142),0)</f>
        <v>-2142.973554766485</v>
      </c>
      <c r="BV142" s="10">
        <f t="shared" si="152"/>
        <v>-47.70899521585079</v>
      </c>
      <c r="BX142" s="11">
        <f>BX$5+SUM(BZ$5:BZ141)+SUM(R$5:R141)-SUM(S$5:S141)+SUM(CB$5,CB141)</f>
        <v>321925.6277034927</v>
      </c>
      <c r="BY142" s="10">
        <f t="shared" si="148"/>
        <v>-1059.6718578573302</v>
      </c>
      <c r="BZ142" s="10">
        <f t="shared" si="149"/>
        <v>-1113.9295076245423</v>
      </c>
      <c r="CA142" s="10">
        <f t="shared" si="159"/>
        <v>-2173.6013654818726</v>
      </c>
      <c r="CB142" s="10">
        <f t="shared" si="160"/>
        <v>-17.081184500463223</v>
      </c>
      <c r="CD142" s="10">
        <f>CD$5+SUM(CE$5:CE141)+SUM(R$5:R141)-SUM(S$5:S141)-SUM(CF$5:CF141)</f>
        <v>385791.78249807097</v>
      </c>
      <c r="CE142" s="10">
        <f t="shared" si="153"/>
        <v>1059.6718578573302</v>
      </c>
      <c r="CF142" s="10">
        <f t="shared" si="154"/>
        <v>2190.682549982336</v>
      </c>
      <c r="CG142" s="10">
        <f t="shared" si="155"/>
        <v>1131.0106921250056</v>
      </c>
      <c r="CI142" s="44">
        <v>0.4611</v>
      </c>
      <c r="CJ142" s="10">
        <f t="shared" si="156"/>
        <v>-1010.12</v>
      </c>
      <c r="CK142" s="4">
        <f t="shared" si="161"/>
        <v>0</v>
      </c>
      <c r="CM142" s="10">
        <f t="shared" si="162"/>
        <v>-143355.05897954816</v>
      </c>
      <c r="CN142" s="4">
        <f t="shared" si="163"/>
        <v>-327.32738466996835</v>
      </c>
    </row>
    <row r="143" spans="1:92" ht="15.75">
      <c r="A143" s="36"/>
      <c r="B143" s="37">
        <v>41456</v>
      </c>
      <c r="C143" s="77">
        <f t="shared" si="144"/>
        <v>3.4582</v>
      </c>
      <c r="D143" s="78">
        <f>C143*(1+Podsumowanie!E$11)</f>
        <v>3.5619460000000003</v>
      </c>
      <c r="E143" s="34">
        <f t="shared" si="117"/>
        <v>-611.6107152030977</v>
      </c>
      <c r="F143" s="7">
        <f t="shared" si="138"/>
        <v>-2178.5243405748133</v>
      </c>
      <c r="G143" s="7">
        <f t="shared" si="118"/>
        <v>-1348.960030901939</v>
      </c>
      <c r="H143" s="7">
        <f t="shared" si="139"/>
        <v>829.5643096728743</v>
      </c>
      <c r="I143" s="32"/>
      <c r="J143" s="4" t="str">
        <f t="shared" si="164"/>
        <v xml:space="preserve"> </v>
      </c>
      <c r="K143" s="4">
        <f>IF(B143&lt;Podsumowanie!E$7,0,K142+1)</f>
        <v>73</v>
      </c>
      <c r="L143" s="100">
        <f t="shared" si="145"/>
        <v>0.0001</v>
      </c>
      <c r="M143" s="38">
        <f>L143+Podsumowanie!E$6</f>
        <v>0.0121</v>
      </c>
      <c r="N143" s="101">
        <f>MAX(Podsumowanie!E$4+SUM(AA$5:AA142)-SUM(X$5:X143)+SUM(W$5:W143),0)</f>
        <v>153264.45835348737</v>
      </c>
      <c r="O143" s="102">
        <f>MAX(Podsumowanie!E$2+SUM(V$5:V142)-SUM(S$5:S143)+SUM(R$5:R143),0)</f>
        <v>338037.9436420347</v>
      </c>
      <c r="P143" s="39">
        <f t="shared" si="133"/>
        <v>360</v>
      </c>
      <c r="Q143" s="40" t="str">
        <f>IF(AND(K143&gt;0,K143&lt;=Podsumowanie!E$9),"tak","nie")</f>
        <v>nie</v>
      </c>
      <c r="R143" s="41"/>
      <c r="S143" s="42"/>
      <c r="T143" s="88">
        <f t="shared" si="119"/>
        <v>-340.8549265057183</v>
      </c>
      <c r="U143" s="89">
        <f>IF(Q143="tak",T143,IF(P143-SUM(AB$5:AB143)+1&gt;0,IF(Podsumowanie!E$7&lt;B143,IF(SUM(AB$5:AB143)-Podsumowanie!E$9+1&gt;0,PMT(M143/12,P143+1-SUM(AB$5:AB143),O143),T143),0),0))</f>
        <v>-1348.960030901939</v>
      </c>
      <c r="V143" s="89">
        <f t="shared" si="143"/>
        <v>-1008.1051043962207</v>
      </c>
      <c r="W143" s="90" t="str">
        <f>IF(R143&gt;0,R143/(C143*(1-Podsumowanie!E$11))," ")</f>
        <v xml:space="preserve"> </v>
      </c>
      <c r="X143" s="90">
        <f t="shared" si="150"/>
        <v>0</v>
      </c>
      <c r="Y143" s="91">
        <f t="shared" si="112"/>
        <v>-154.54166217309975</v>
      </c>
      <c r="Z143" s="90">
        <f>IF(P143-SUM(AB$5:AB143)+1&gt;0,IF(Podsumowanie!E$7&lt;B143,IF(SUM(AB$5:AB143)-Podsumowanie!E$9+1&gt;0,PMT(M143/12,P143+1-SUM(AB$5:AB143),N143),Y143),0),0)</f>
        <v>-611.6107152030977</v>
      </c>
      <c r="AA143" s="90">
        <f t="shared" si="136"/>
        <v>-457.0690530299979</v>
      </c>
      <c r="AB143" s="8">
        <f>IF(AND(Podsumowanie!E$7&lt;B143,SUM(AB$5:AB142)&lt;P142),1," ")</f>
        <v>1</v>
      </c>
      <c r="AD143" s="51">
        <f>IF(OR(B143&lt;Podsumowanie!E$12,Podsumowanie!E$12=""),-F143+S143,0)</f>
        <v>2178.5243405748133</v>
      </c>
      <c r="AE143" s="51">
        <f t="shared" si="151"/>
        <v>0</v>
      </c>
      <c r="AG143" s="10">
        <f>Podsumowanie!E$4-SUM(AI$5:AI142)+SUM(W$42:W143)-SUM(X$42:X143)</f>
        <v>145490.39813555224</v>
      </c>
      <c r="AH143" s="10">
        <f t="shared" si="120"/>
        <v>146.7</v>
      </c>
      <c r="AI143" s="10">
        <f t="shared" si="121"/>
        <v>505.17</v>
      </c>
      <c r="AJ143" s="10">
        <f t="shared" si="134"/>
        <v>651.87</v>
      </c>
      <c r="AK143" s="10">
        <f t="shared" si="165"/>
        <v>2321.93</v>
      </c>
      <c r="AL143" s="10">
        <f>Podsumowanie!E$2-SUM(AN$5:AN142)+SUM(R$42:R143)-SUM(S$42:S143)</f>
        <v>320891.08999999997</v>
      </c>
      <c r="AM143" s="10">
        <f t="shared" si="122"/>
        <v>323.57</v>
      </c>
      <c r="AN143" s="10">
        <f t="shared" si="123"/>
        <v>1114.21</v>
      </c>
      <c r="AO143" s="10">
        <f t="shared" si="124"/>
        <v>1437.78</v>
      </c>
      <c r="AP143" s="10">
        <f t="shared" si="125"/>
        <v>884.1499999999999</v>
      </c>
      <c r="AR143" s="43">
        <f t="shared" si="166"/>
        <v>41456</v>
      </c>
      <c r="AS143" s="11">
        <f>AS$5+SUM(AV$5:AV142)-SUM(X$5:X143)+SUM(W$5:W143)</f>
        <v>148666.52460288274</v>
      </c>
      <c r="AT143" s="10">
        <f t="shared" si="126"/>
        <v>-149.90541230790674</v>
      </c>
      <c r="AU143" s="10">
        <f>IF(AB143=1,IF(Q143="tak",AT143,PMT(M143/12,P143+1-SUM(AB$5:AB143),AS143)),0)</f>
        <v>-593.2623937470047</v>
      </c>
      <c r="AV143" s="10">
        <f t="shared" si="127"/>
        <v>-443.3569814390979</v>
      </c>
      <c r="AW143" s="10">
        <f t="shared" si="128"/>
        <v>-2051.6200100558917</v>
      </c>
      <c r="AY143" s="11">
        <f>AY$5+SUM(BA$5:BA142)+SUM(W$5:W142)-SUM(X$5:X142)</f>
        <v>141125.54719148562</v>
      </c>
      <c r="AZ143" s="11">
        <f t="shared" si="129"/>
        <v>-149.90541230790674</v>
      </c>
      <c r="BA143" s="11">
        <f t="shared" si="130"/>
        <v>-490.02</v>
      </c>
      <c r="BB143" s="11">
        <f t="shared" si="135"/>
        <v>-639.9254123079068</v>
      </c>
      <c r="BC143" s="11">
        <f t="shared" si="167"/>
        <v>-2212.990060843203</v>
      </c>
      <c r="BE143" s="172">
        <f t="shared" si="146"/>
        <v>0.027</v>
      </c>
      <c r="BF143" s="44">
        <f>BE143+Podsumowanie!$E$6</f>
        <v>0.039</v>
      </c>
      <c r="BG143" s="11">
        <f>BG$5+SUM(BH$5:BH142)+SUM(R$5:R142)-SUM(S$5:S142)</f>
        <v>365350.75863055536</v>
      </c>
      <c r="BH143" s="10">
        <f t="shared" si="137"/>
        <v>-764.0030054385691</v>
      </c>
      <c r="BI143" s="10">
        <f t="shared" si="132"/>
        <v>-1187.3899655493049</v>
      </c>
      <c r="BJ143" s="10">
        <f>IF(U143&lt;0,PMT(BF143/12,Podsumowanie!E$8-SUM(AB$5:AB143)+1,BG143),0)</f>
        <v>-1951.392970987874</v>
      </c>
      <c r="BL143" s="11">
        <f>BL$5+SUM(BN$5:BN142)+SUM(R$5:R142)-SUM(S$5:S142)</f>
        <v>320891.3649025069</v>
      </c>
      <c r="BM143" s="11">
        <f t="shared" si="140"/>
        <v>-1042.8969359331475</v>
      </c>
      <c r="BN143" s="11">
        <f t="shared" si="141"/>
        <v>-1114.2061281337044</v>
      </c>
      <c r="BO143" s="11">
        <f t="shared" si="142"/>
        <v>-2157.103064066852</v>
      </c>
      <c r="BQ143" s="44">
        <f t="shared" si="147"/>
        <v>0.039099999999999996</v>
      </c>
      <c r="BR143" s="11">
        <f>BR$5+SUM(BS$5:BS142)+SUM(R$5:R142)-SUM(S$5:S142)+SUM(BV$5:BV142)</f>
        <v>399134.11190829927</v>
      </c>
      <c r="BS143" s="10">
        <f t="shared" si="157"/>
        <v>-833.496997715356</v>
      </c>
      <c r="BT143" s="10">
        <f t="shared" si="158"/>
        <v>-1300.5119813012084</v>
      </c>
      <c r="BU143" s="10">
        <f>IF(U143&lt;0,PMT(BQ143/12,Podsumowanie!E$8-SUM(AB$5:AB143)+1,BR143),0)</f>
        <v>-2134.0089790165644</v>
      </c>
      <c r="BV143" s="10">
        <f t="shared" si="152"/>
        <v>-44.51536155824897</v>
      </c>
      <c r="BX143" s="11">
        <f>BX$5+SUM(BZ$5:BZ142)+SUM(R$5:R142)-SUM(S$5:S142)+SUM(CB$5,CB142)</f>
        <v>320704.3464954028</v>
      </c>
      <c r="BY143" s="10">
        <f t="shared" si="148"/>
        <v>-1044.961662330854</v>
      </c>
      <c r="BZ143" s="10">
        <f t="shared" si="149"/>
        <v>-1113.556758664593</v>
      </c>
      <c r="CA143" s="10">
        <f t="shared" si="159"/>
        <v>-2158.518420995447</v>
      </c>
      <c r="CB143" s="10">
        <f t="shared" si="160"/>
        <v>-20.00591957936649</v>
      </c>
      <c r="CD143" s="10">
        <f>CD$5+SUM(CE$5:CE142)+SUM(R$5:R142)-SUM(S$5:S142)-SUM(CF$5:CF142)</f>
        <v>384660.771805946</v>
      </c>
      <c r="CE143" s="10">
        <f t="shared" si="153"/>
        <v>1044.961662330854</v>
      </c>
      <c r="CF143" s="10">
        <f t="shared" si="154"/>
        <v>2178.5243405748133</v>
      </c>
      <c r="CG143" s="10">
        <f t="shared" si="155"/>
        <v>1133.5626782439592</v>
      </c>
      <c r="CI143" s="44">
        <v>0.4611</v>
      </c>
      <c r="CJ143" s="10">
        <f t="shared" si="156"/>
        <v>-1004.52</v>
      </c>
      <c r="CK143" s="4">
        <f t="shared" si="161"/>
        <v>0</v>
      </c>
      <c r="CM143" s="10">
        <f t="shared" si="162"/>
        <v>-145533.58332012297</v>
      </c>
      <c r="CN143" s="4">
        <f t="shared" si="163"/>
        <v>-327.4505624702767</v>
      </c>
    </row>
    <row r="144" spans="1:92" ht="15.75">
      <c r="A144" s="36"/>
      <c r="B144" s="37">
        <v>41487</v>
      </c>
      <c r="C144" s="77">
        <f t="shared" si="144"/>
        <v>3.4276</v>
      </c>
      <c r="D144" s="78">
        <f>C144*(1+Podsumowanie!E$11)</f>
        <v>3.530428</v>
      </c>
      <c r="E144" s="34">
        <f t="shared" si="117"/>
        <v>-611.6107152030977</v>
      </c>
      <c r="F144" s="7">
        <f t="shared" si="138"/>
        <v>-2159.2475940530417</v>
      </c>
      <c r="G144" s="7">
        <f t="shared" si="118"/>
        <v>-1348.9600309019393</v>
      </c>
      <c r="H144" s="7">
        <f t="shared" si="139"/>
        <v>810.2875631511024</v>
      </c>
      <c r="I144" s="32"/>
      <c r="J144" s="4" t="str">
        <f t="shared" si="164"/>
        <v xml:space="preserve"> </v>
      </c>
      <c r="K144" s="4">
        <f>IF(B144&lt;Podsumowanie!E$7,0,K143+1)</f>
        <v>74</v>
      </c>
      <c r="L144" s="100">
        <f t="shared" si="145"/>
        <v>0.0001</v>
      </c>
      <c r="M144" s="38">
        <f>L144+Podsumowanie!E$6</f>
        <v>0.0121</v>
      </c>
      <c r="N144" s="101">
        <f>MAX(Podsumowanie!E$4+SUM(AA$5:AA143)-SUM(X$5:X144)+SUM(W$5:W144),0)</f>
        <v>152807.38930045735</v>
      </c>
      <c r="O144" s="102">
        <f>MAX(Podsumowanie!E$2+SUM(V$5:V143)-SUM(S$5:S144)+SUM(R$5:R144),0)</f>
        <v>337029.8385376385</v>
      </c>
      <c r="P144" s="39">
        <f t="shared" si="133"/>
        <v>360</v>
      </c>
      <c r="Q144" s="40" t="str">
        <f>IF(AND(K144&gt;0,K144&lt;=Podsumowanie!E$9),"tak","nie")</f>
        <v>nie</v>
      </c>
      <c r="R144" s="41"/>
      <c r="S144" s="42"/>
      <c r="T144" s="88">
        <f t="shared" si="119"/>
        <v>-339.83842052545214</v>
      </c>
      <c r="U144" s="89">
        <f>IF(Q144="tak",T144,IF(P144-SUM(AB$5:AB144)+1&gt;0,IF(Podsumowanie!E$7&lt;B144,IF(SUM(AB$5:AB144)-Podsumowanie!E$9+1&gt;0,PMT(M144/12,P144+1-SUM(AB$5:AB144),O144),T144),0),0))</f>
        <v>-1348.9600309019393</v>
      </c>
      <c r="V144" s="89">
        <f t="shared" si="143"/>
        <v>-1009.1216103764871</v>
      </c>
      <c r="W144" s="90" t="str">
        <f>IF(R144&gt;0,R144/(C144*(1-Podsumowanie!E$11))," ")</f>
        <v xml:space="preserve"> </v>
      </c>
      <c r="X144" s="90">
        <f t="shared" si="150"/>
        <v>0</v>
      </c>
      <c r="Y144" s="91">
        <f t="shared" si="112"/>
        <v>-154.08078421129449</v>
      </c>
      <c r="Z144" s="90">
        <f>IF(P144-SUM(AB$5:AB144)+1&gt;0,IF(Podsumowanie!E$7&lt;B144,IF(SUM(AB$5:AB144)-Podsumowanie!E$9+1&gt;0,PMT(M144/12,P144+1-SUM(AB$5:AB144),N144),Y144),0),0)</f>
        <v>-611.6107152030977</v>
      </c>
      <c r="AA144" s="90">
        <f t="shared" si="136"/>
        <v>-457.5299309918032</v>
      </c>
      <c r="AB144" s="8">
        <f>IF(AND(Podsumowanie!E$7&lt;B144,SUM(AB$5:AB143)&lt;P143),1," ")</f>
        <v>1</v>
      </c>
      <c r="AD144" s="51">
        <f>IF(OR(B144&lt;Podsumowanie!E$12,Podsumowanie!E$12=""),-F144+S144,0)</f>
        <v>2159.2475940530417</v>
      </c>
      <c r="AE144" s="51">
        <f t="shared" si="151"/>
        <v>0</v>
      </c>
      <c r="AG144" s="10">
        <f>Podsumowanie!E$4-SUM(AI$5:AI143)+SUM(W$42:W144)-SUM(X$42:X144)</f>
        <v>144985.22813555223</v>
      </c>
      <c r="AH144" s="10">
        <f t="shared" si="120"/>
        <v>146.19</v>
      </c>
      <c r="AI144" s="10">
        <f t="shared" si="121"/>
        <v>505.18</v>
      </c>
      <c r="AJ144" s="10">
        <f t="shared" si="134"/>
        <v>651.37</v>
      </c>
      <c r="AK144" s="10">
        <f t="shared" si="165"/>
        <v>2299.61</v>
      </c>
      <c r="AL144" s="10">
        <f>Podsumowanie!E$2-SUM(AN$5:AN143)+SUM(R$42:R144)-SUM(S$42:S144)</f>
        <v>319776.87999999995</v>
      </c>
      <c r="AM144" s="10">
        <f t="shared" si="122"/>
        <v>322.44</v>
      </c>
      <c r="AN144" s="10">
        <f t="shared" si="123"/>
        <v>1114.21</v>
      </c>
      <c r="AO144" s="10">
        <f t="shared" si="124"/>
        <v>1436.65</v>
      </c>
      <c r="AP144" s="10">
        <f t="shared" si="125"/>
        <v>862.96</v>
      </c>
      <c r="AR144" s="43">
        <f t="shared" si="166"/>
        <v>41487</v>
      </c>
      <c r="AS144" s="11">
        <f>AS$5+SUM(AV$5:AV143)-SUM(X$5:X144)+SUM(W$5:W144)</f>
        <v>148223.16762144363</v>
      </c>
      <c r="AT144" s="10">
        <f t="shared" si="126"/>
        <v>-149.45836068495566</v>
      </c>
      <c r="AU144" s="10">
        <f>IF(AB144=1,IF(Q144="tak",AT144,PMT(M144/12,P144+1-SUM(AB$5:AB144),AS144)),0)</f>
        <v>-593.2623937470048</v>
      </c>
      <c r="AV144" s="10">
        <f t="shared" si="127"/>
        <v>-443.80403306204914</v>
      </c>
      <c r="AW144" s="10">
        <f t="shared" si="128"/>
        <v>-2033.4661808072337</v>
      </c>
      <c r="AY144" s="11">
        <f>AY$5+SUM(BA$5:BA143)+SUM(W$5:W143)-SUM(X$5:X143)</f>
        <v>140635.52719148563</v>
      </c>
      <c r="AZ144" s="11">
        <f t="shared" si="129"/>
        <v>-149.45836068495566</v>
      </c>
      <c r="BA144" s="11">
        <f t="shared" si="130"/>
        <v>-490.02</v>
      </c>
      <c r="BB144" s="11">
        <f t="shared" si="135"/>
        <v>-639.4783606849556</v>
      </c>
      <c r="BC144" s="11">
        <f t="shared" si="167"/>
        <v>-2191.876029083754</v>
      </c>
      <c r="BE144" s="172">
        <f t="shared" si="146"/>
        <v>0.027</v>
      </c>
      <c r="BF144" s="44">
        <f>BE144+Podsumowanie!$E$6</f>
        <v>0.039</v>
      </c>
      <c r="BG144" s="11">
        <f>BG$5+SUM(BH$5:BH143)+SUM(R$5:R143)-SUM(S$5:S143)</f>
        <v>364586.75562511676</v>
      </c>
      <c r="BH144" s="10">
        <f t="shared" si="137"/>
        <v>-766.4860152062436</v>
      </c>
      <c r="BI144" s="10">
        <f t="shared" si="132"/>
        <v>-1184.9069557816294</v>
      </c>
      <c r="BJ144" s="10">
        <f>IF(U144&lt;0,PMT(BF144/12,Podsumowanie!E$8-SUM(AB$5:AB144)+1,BG144),0)</f>
        <v>-1951.392970987873</v>
      </c>
      <c r="BL144" s="11">
        <f>BL$5+SUM(BN$5:BN143)+SUM(R$5:R143)-SUM(S$5:S143)</f>
        <v>319777.1587743732</v>
      </c>
      <c r="BM144" s="11">
        <f t="shared" si="140"/>
        <v>-1039.2757660167129</v>
      </c>
      <c r="BN144" s="11">
        <f t="shared" si="141"/>
        <v>-1114.2061281337044</v>
      </c>
      <c r="BO144" s="11">
        <f t="shared" si="142"/>
        <v>-2153.4818941504172</v>
      </c>
      <c r="BQ144" s="44">
        <f t="shared" si="147"/>
        <v>0.039099999999999996</v>
      </c>
      <c r="BR144" s="11">
        <f>BR$5+SUM(BS$5:BS143)+SUM(R$5:R143)-SUM(S$5:S143)+SUM(BV$5:BV143)</f>
        <v>398256.0995490257</v>
      </c>
      <c r="BS144" s="10">
        <f t="shared" si="157"/>
        <v>-836.1193509252873</v>
      </c>
      <c r="BT144" s="10">
        <f t="shared" si="158"/>
        <v>-1297.6511243639086</v>
      </c>
      <c r="BU144" s="10">
        <f>IF(U144&lt;0,PMT(BQ144/12,Podsumowanie!E$8-SUM(AB$5:AB144)+1,BR144),0)</f>
        <v>-2133.770475289196</v>
      </c>
      <c r="BV144" s="10">
        <f t="shared" si="152"/>
        <v>-25.477118763845738</v>
      </c>
      <c r="BX144" s="11">
        <f>BX$5+SUM(BZ$5:BZ143)+SUM(R$5:R143)-SUM(S$5:S143)+SUM(CB$5,CB143)</f>
        <v>319587.8650016593</v>
      </c>
      <c r="BY144" s="10">
        <f t="shared" si="148"/>
        <v>-1041.3237934637398</v>
      </c>
      <c r="BZ144" s="10">
        <f t="shared" si="149"/>
        <v>-1113.5465679500326</v>
      </c>
      <c r="CA144" s="10">
        <f t="shared" si="159"/>
        <v>-2154.870361413772</v>
      </c>
      <c r="CB144" s="10">
        <f t="shared" si="160"/>
        <v>-4.37723263926955</v>
      </c>
      <c r="CD144" s="10">
        <f>CD$5+SUM(CE$5:CE143)+SUM(R$5:R143)-SUM(S$5:S143)-SUM(CF$5:CF143)</f>
        <v>383527.209127702</v>
      </c>
      <c r="CE144" s="10">
        <f t="shared" si="153"/>
        <v>1041.3237934637398</v>
      </c>
      <c r="CF144" s="10">
        <f t="shared" si="154"/>
        <v>2159.2475940530417</v>
      </c>
      <c r="CG144" s="10">
        <f t="shared" si="155"/>
        <v>1117.923800589302</v>
      </c>
      <c r="CI144" s="44">
        <v>0.4567</v>
      </c>
      <c r="CJ144" s="10">
        <f t="shared" si="156"/>
        <v>-986.13</v>
      </c>
      <c r="CK144" s="4">
        <f t="shared" si="161"/>
        <v>0</v>
      </c>
      <c r="CM144" s="10">
        <f t="shared" si="162"/>
        <v>-147692.830914176</v>
      </c>
      <c r="CN144" s="4">
        <f t="shared" si="163"/>
        <v>-332.308869556896</v>
      </c>
    </row>
    <row r="145" spans="1:92" ht="15.75">
      <c r="A145" s="36"/>
      <c r="B145" s="37">
        <v>41518</v>
      </c>
      <c r="C145" s="77">
        <f t="shared" si="144"/>
        <v>3.4349</v>
      </c>
      <c r="D145" s="78">
        <f>C145*(1+Podsumowanie!E$11)</f>
        <v>3.537947</v>
      </c>
      <c r="E145" s="34">
        <f t="shared" si="117"/>
        <v>-611.6107152030978</v>
      </c>
      <c r="F145" s="7">
        <f t="shared" si="138"/>
        <v>-2163.8462950206545</v>
      </c>
      <c r="G145" s="7">
        <f t="shared" si="118"/>
        <v>-1348.9600309019397</v>
      </c>
      <c r="H145" s="7">
        <f t="shared" si="139"/>
        <v>814.8862641187147</v>
      </c>
      <c r="I145" s="32"/>
      <c r="J145" s="4" t="str">
        <f t="shared" si="164"/>
        <v xml:space="preserve"> </v>
      </c>
      <c r="K145" s="4">
        <f>IF(B145&lt;Podsumowanie!E$7,0,K144+1)</f>
        <v>75</v>
      </c>
      <c r="L145" s="100">
        <f t="shared" si="145"/>
        <v>0.0001</v>
      </c>
      <c r="M145" s="38">
        <f>L145+Podsumowanie!E$6</f>
        <v>0.0121</v>
      </c>
      <c r="N145" s="101">
        <f>MAX(Podsumowanie!E$4+SUM(AA$5:AA144)-SUM(X$5:X145)+SUM(W$5:W145),0)</f>
        <v>152349.85936946556</v>
      </c>
      <c r="O145" s="102">
        <f>MAX(Podsumowanie!E$2+SUM(V$5:V144)-SUM(S$5:S145)+SUM(R$5:R145),0)</f>
        <v>336020.716927262</v>
      </c>
      <c r="P145" s="39">
        <f t="shared" si="133"/>
        <v>360</v>
      </c>
      <c r="Q145" s="40" t="str">
        <f>IF(AND(K145&gt;0,K145&lt;=Podsumowanie!E$9),"tak","nie")</f>
        <v>nie</v>
      </c>
      <c r="R145" s="41"/>
      <c r="S145" s="42"/>
      <c r="T145" s="88">
        <f t="shared" si="119"/>
        <v>-338.8208895683225</v>
      </c>
      <c r="U145" s="89">
        <f>IF(Q145="tak",T145,IF(P145-SUM(AB$5:AB145)+1&gt;0,IF(Podsumowanie!E$7&lt;B145,IF(SUM(AB$5:AB145)-Podsumowanie!E$9+1&gt;0,PMT(M145/12,P145+1-SUM(AB$5:AB145),O145),T145),0),0))</f>
        <v>-1348.9600309019397</v>
      </c>
      <c r="V145" s="89">
        <f t="shared" si="143"/>
        <v>-1010.1391413336172</v>
      </c>
      <c r="W145" s="90" t="str">
        <f>IF(R145&gt;0,R145/(C145*(1-Podsumowanie!E$11))," ")</f>
        <v xml:space="preserve"> </v>
      </c>
      <c r="X145" s="90">
        <f t="shared" si="150"/>
        <v>0</v>
      </c>
      <c r="Y145" s="91">
        <f t="shared" si="112"/>
        <v>-153.61944153087776</v>
      </c>
      <c r="Z145" s="90">
        <f>IF(P145-SUM(AB$5:AB145)+1&gt;0,IF(Podsumowanie!E$7&lt;B145,IF(SUM(AB$5:AB145)-Podsumowanie!E$9+1&gt;0,PMT(M145/12,P145+1-SUM(AB$5:AB145),N145),Y145),0),0)</f>
        <v>-611.6107152030978</v>
      </c>
      <c r="AA145" s="90">
        <f t="shared" si="136"/>
        <v>-457.99127367222</v>
      </c>
      <c r="AB145" s="8">
        <f>IF(AND(Podsumowanie!E$7&lt;B145,SUM(AB$5:AB144)&lt;P144),1," ")</f>
        <v>1</v>
      </c>
      <c r="AD145" s="51">
        <f>IF(OR(B145&lt;Podsumowanie!E$12,Podsumowanie!E$12=""),-F145+S145,0)</f>
        <v>2163.8462950206545</v>
      </c>
      <c r="AE145" s="51">
        <f t="shared" si="151"/>
        <v>0</v>
      </c>
      <c r="AG145" s="10">
        <f>Podsumowanie!E$4-SUM(AI$5:AI144)+SUM(W$42:W145)-SUM(X$42:X145)</f>
        <v>144480.04813555224</v>
      </c>
      <c r="AH145" s="10">
        <f t="shared" si="120"/>
        <v>145.68</v>
      </c>
      <c r="AI145" s="10">
        <f t="shared" si="121"/>
        <v>505.17</v>
      </c>
      <c r="AJ145" s="10">
        <f t="shared" si="134"/>
        <v>650.85</v>
      </c>
      <c r="AK145" s="10">
        <f t="shared" si="165"/>
        <v>2302.67</v>
      </c>
      <c r="AL145" s="10">
        <f>Podsumowanie!E$2-SUM(AN$5:AN144)+SUM(R$42:R145)-SUM(S$42:S145)</f>
        <v>318662.6699999999</v>
      </c>
      <c r="AM145" s="10">
        <f t="shared" si="122"/>
        <v>321.32</v>
      </c>
      <c r="AN145" s="10">
        <f t="shared" si="123"/>
        <v>1114.21</v>
      </c>
      <c r="AO145" s="10">
        <f t="shared" si="124"/>
        <v>1435.53</v>
      </c>
      <c r="AP145" s="10">
        <f t="shared" si="125"/>
        <v>867.1400000000001</v>
      </c>
      <c r="AR145" s="43">
        <f t="shared" si="166"/>
        <v>41518</v>
      </c>
      <c r="AS145" s="11">
        <f>AS$5+SUM(AV$5:AV144)-SUM(X$5:X145)+SUM(W$5:W145)</f>
        <v>147779.3635883816</v>
      </c>
      <c r="AT145" s="10">
        <f t="shared" si="126"/>
        <v>-149.01085828495144</v>
      </c>
      <c r="AU145" s="10">
        <f>IF(AB145=1,IF(Q145="tak",AT145,PMT(M145/12,P145+1-SUM(AB$5:AB145),AS145)),0)</f>
        <v>-593.2623937470048</v>
      </c>
      <c r="AV145" s="10">
        <f t="shared" si="127"/>
        <v>-444.25153546205337</v>
      </c>
      <c r="AW145" s="10">
        <f t="shared" si="128"/>
        <v>-2037.7969962815866</v>
      </c>
      <c r="AY145" s="11">
        <f>AY$5+SUM(BA$5:BA144)+SUM(W$5:W144)-SUM(X$5:X144)</f>
        <v>140145.5071914856</v>
      </c>
      <c r="AZ145" s="11">
        <f t="shared" si="129"/>
        <v>-149.01085828495144</v>
      </c>
      <c r="BA145" s="11">
        <f t="shared" si="130"/>
        <v>-490.02</v>
      </c>
      <c r="BB145" s="11">
        <f t="shared" si="135"/>
        <v>-639.0308582849514</v>
      </c>
      <c r="BC145" s="11">
        <f t="shared" si="167"/>
        <v>-2195.0070951229795</v>
      </c>
      <c r="BE145" s="172">
        <f t="shared" si="146"/>
        <v>0.0269</v>
      </c>
      <c r="BF145" s="44">
        <f>BE145+Podsumowanie!$E$6</f>
        <v>0.038900000000000004</v>
      </c>
      <c r="BG145" s="11">
        <f>BG$5+SUM(BH$5:BH144)+SUM(R$5:R144)-SUM(S$5:S144)</f>
        <v>363820.2696099105</v>
      </c>
      <c r="BH145" s="10">
        <f t="shared" si="137"/>
        <v>-770.03128654689</v>
      </c>
      <c r="BI145" s="10">
        <f t="shared" si="132"/>
        <v>-1179.3840406521267</v>
      </c>
      <c r="BJ145" s="10">
        <f>IF(U145&lt;0,PMT(BF145/12,Podsumowanie!E$8-SUM(AB$5:AB145)+1,BG145),0)</f>
        <v>-1949.4153271990167</v>
      </c>
      <c r="BL145" s="11">
        <f>BL$5+SUM(BN$5:BN144)+SUM(R$5:R144)-SUM(S$5:S144)</f>
        <v>318662.9526462394</v>
      </c>
      <c r="BM145" s="11">
        <f t="shared" si="140"/>
        <v>-1032.9990714948929</v>
      </c>
      <c r="BN145" s="11">
        <f t="shared" si="141"/>
        <v>-1114.2061281337044</v>
      </c>
      <c r="BO145" s="11">
        <f t="shared" si="142"/>
        <v>-2147.2051996285973</v>
      </c>
      <c r="BQ145" s="44">
        <f t="shared" si="147"/>
        <v>0.039</v>
      </c>
      <c r="BR145" s="11">
        <f>BR$5+SUM(BS$5:BS144)+SUM(R$5:R144)-SUM(S$5:S144)+SUM(BV$5:BV144)</f>
        <v>397394.5030793366</v>
      </c>
      <c r="BS145" s="10">
        <f t="shared" si="157"/>
        <v>-839.9402011808495</v>
      </c>
      <c r="BT145" s="10">
        <f t="shared" si="158"/>
        <v>-1291.532135007844</v>
      </c>
      <c r="BU145" s="10">
        <f>IF(U145&lt;0,PMT(BQ145/12,Podsumowanie!E$8-SUM(AB$5:AB145)+1,BR145),0)</f>
        <v>-2131.4723361886936</v>
      </c>
      <c r="BV145" s="10">
        <f t="shared" si="152"/>
        <v>-32.37395883196086</v>
      </c>
      <c r="BX145" s="11">
        <f>BX$5+SUM(BZ$5:BZ144)+SUM(R$5:R144)-SUM(S$5:S144)+SUM(CB$5,CB144)</f>
        <v>318489.9471206494</v>
      </c>
      <c r="BY145" s="10">
        <f t="shared" si="148"/>
        <v>-1035.0923281421105</v>
      </c>
      <c r="BZ145" s="10">
        <f t="shared" si="149"/>
        <v>-1113.6012137085643</v>
      </c>
      <c r="CA145" s="10">
        <f t="shared" si="159"/>
        <v>-2148.6935418506746</v>
      </c>
      <c r="CB145" s="10">
        <f t="shared" si="160"/>
        <v>-15.15275316997986</v>
      </c>
      <c r="CD145" s="10">
        <f>CD$5+SUM(CE$5:CE144)+SUM(R$5:R144)-SUM(S$5:S144)-SUM(CF$5:CF144)</f>
        <v>382409.2853271127</v>
      </c>
      <c r="CE145" s="10">
        <f t="shared" si="153"/>
        <v>1035.0923281421105</v>
      </c>
      <c r="CF145" s="10">
        <f t="shared" si="154"/>
        <v>2163.8462950206545</v>
      </c>
      <c r="CG145" s="10">
        <f t="shared" si="155"/>
        <v>1128.753966878544</v>
      </c>
      <c r="CI145" s="44">
        <v>0.4611</v>
      </c>
      <c r="CJ145" s="10">
        <f t="shared" si="156"/>
        <v>-997.75</v>
      </c>
      <c r="CK145" s="4">
        <f t="shared" si="161"/>
        <v>0</v>
      </c>
      <c r="CM145" s="10">
        <f t="shared" si="162"/>
        <v>-149856.67720919667</v>
      </c>
      <c r="CN145" s="4">
        <f t="shared" si="163"/>
        <v>-335.92871807728255</v>
      </c>
    </row>
    <row r="146" spans="1:92" ht="15.75">
      <c r="A146" s="36"/>
      <c r="B146" s="37">
        <v>41548</v>
      </c>
      <c r="C146" s="77">
        <f t="shared" si="144"/>
        <v>3.4033</v>
      </c>
      <c r="D146" s="78">
        <f>C146*(1+Podsumowanie!E$11)</f>
        <v>3.505399</v>
      </c>
      <c r="E146" s="34">
        <f t="shared" si="117"/>
        <v>-611.6107152030976</v>
      </c>
      <c r="F146" s="7">
        <f t="shared" si="138"/>
        <v>-2143.939589462223</v>
      </c>
      <c r="G146" s="7">
        <f t="shared" si="118"/>
        <v>-1348.960030901939</v>
      </c>
      <c r="H146" s="7">
        <f t="shared" si="139"/>
        <v>794.979558560284</v>
      </c>
      <c r="I146" s="32"/>
      <c r="J146" s="4" t="str">
        <f t="shared" si="164"/>
        <v xml:space="preserve"> </v>
      </c>
      <c r="K146" s="4">
        <f>IF(B146&lt;Podsumowanie!E$7,0,K145+1)</f>
        <v>76</v>
      </c>
      <c r="L146" s="100">
        <f t="shared" si="145"/>
        <v>0.0001</v>
      </c>
      <c r="M146" s="38">
        <f>L146+Podsumowanie!E$6</f>
        <v>0.0121</v>
      </c>
      <c r="N146" s="101">
        <f>MAX(Podsumowanie!E$4+SUM(AA$5:AA145)-SUM(X$5:X146)+SUM(W$5:W146),0)</f>
        <v>151891.86809579332</v>
      </c>
      <c r="O146" s="102">
        <f>MAX(Podsumowanie!E$2+SUM(V$5:V145)-SUM(S$5:S146)+SUM(R$5:R146),0)</f>
        <v>335010.5777859284</v>
      </c>
      <c r="P146" s="39">
        <f t="shared" si="133"/>
        <v>360</v>
      </c>
      <c r="Q146" s="40" t="str">
        <f>IF(AND(K146&gt;0,K146&lt;=Podsumowanie!E$9),"tak","nie")</f>
        <v>nie</v>
      </c>
      <c r="R146" s="41"/>
      <c r="S146" s="42"/>
      <c r="T146" s="88">
        <f t="shared" si="119"/>
        <v>-337.8023326008111</v>
      </c>
      <c r="U146" s="89">
        <f>IF(Q146="tak",T146,IF(P146-SUM(AB$5:AB146)+1&gt;0,IF(Podsumowanie!E$7&lt;B146,IF(SUM(AB$5:AB146)-Podsumowanie!E$9+1&gt;0,PMT(M146/12,P146+1-SUM(AB$5:AB146),O146),T146),0),0))</f>
        <v>-1348.960030901939</v>
      </c>
      <c r="V146" s="89">
        <f t="shared" si="143"/>
        <v>-1011.157698301128</v>
      </c>
      <c r="W146" s="90" t="str">
        <f>IF(R146&gt;0,R146/(C146*(1-Podsumowanie!E$11))," ")</f>
        <v xml:space="preserve"> </v>
      </c>
      <c r="X146" s="90">
        <f t="shared" si="150"/>
        <v>0</v>
      </c>
      <c r="Y146" s="91">
        <f t="shared" si="112"/>
        <v>-153.15763366325828</v>
      </c>
      <c r="Z146" s="90">
        <f>IF(P146-SUM(AB$5:AB146)+1&gt;0,IF(Podsumowanie!E$7&lt;B146,IF(SUM(AB$5:AB146)-Podsumowanie!E$9+1&gt;0,PMT(M146/12,P146+1-SUM(AB$5:AB146),N146),Y146),0),0)</f>
        <v>-611.6107152030976</v>
      </c>
      <c r="AA146" s="90">
        <f t="shared" si="136"/>
        <v>-458.45308153983933</v>
      </c>
      <c r="AB146" s="8">
        <f>IF(AND(Podsumowanie!E$7&lt;B146,SUM(AB$5:AB145)&lt;P145),1," ")</f>
        <v>1</v>
      </c>
      <c r="AD146" s="51">
        <f>IF(OR(B146&lt;Podsumowanie!E$12,Podsumowanie!E$12=""),-F146+S146,0)</f>
        <v>2143.939589462223</v>
      </c>
      <c r="AE146" s="51">
        <f t="shared" si="151"/>
        <v>0</v>
      </c>
      <c r="AG146" s="10">
        <f>Podsumowanie!E$4-SUM(AI$5:AI145)+SUM(W$42:W146)-SUM(X$42:X146)</f>
        <v>143974.87813555222</v>
      </c>
      <c r="AH146" s="10">
        <f t="shared" si="120"/>
        <v>145.17</v>
      </c>
      <c r="AI146" s="10">
        <f t="shared" si="121"/>
        <v>505.18</v>
      </c>
      <c r="AJ146" s="10">
        <f t="shared" si="134"/>
        <v>650.35</v>
      </c>
      <c r="AK146" s="10">
        <f t="shared" si="165"/>
        <v>2279.74</v>
      </c>
      <c r="AL146" s="10">
        <f>Podsumowanie!E$2-SUM(AN$5:AN145)+SUM(R$42:R146)-SUM(S$42:S146)</f>
        <v>317548.45999999996</v>
      </c>
      <c r="AM146" s="10">
        <f t="shared" si="122"/>
        <v>320.19</v>
      </c>
      <c r="AN146" s="10">
        <f t="shared" si="123"/>
        <v>1114.21</v>
      </c>
      <c r="AO146" s="10">
        <f t="shared" si="124"/>
        <v>1434.4</v>
      </c>
      <c r="AP146" s="10">
        <f t="shared" si="125"/>
        <v>845.3399999999997</v>
      </c>
      <c r="AR146" s="43">
        <f t="shared" si="166"/>
        <v>41548</v>
      </c>
      <c r="AS146" s="11">
        <f>AS$5+SUM(AV$5:AV145)-SUM(X$5:X146)+SUM(W$5:W146)</f>
        <v>147335.11205291952</v>
      </c>
      <c r="AT146" s="10">
        <f t="shared" si="126"/>
        <v>-148.5629046533605</v>
      </c>
      <c r="AU146" s="10">
        <f>IF(AB146=1,IF(Q146="tak",AT146,PMT(M146/12,P146+1-SUM(AB$5:AB146),AS146)),0)</f>
        <v>-593.2623937470047</v>
      </c>
      <c r="AV146" s="10">
        <f t="shared" si="127"/>
        <v>-444.69948909364416</v>
      </c>
      <c r="AW146" s="10">
        <f t="shared" si="128"/>
        <v>-2019.0499046391812</v>
      </c>
      <c r="AY146" s="11">
        <f>AY$5+SUM(BA$5:BA145)+SUM(W$5:W145)-SUM(X$5:X145)</f>
        <v>139655.48719148562</v>
      </c>
      <c r="AZ146" s="11">
        <f t="shared" si="129"/>
        <v>-148.5629046533605</v>
      </c>
      <c r="BA146" s="11">
        <f t="shared" si="130"/>
        <v>-490.02</v>
      </c>
      <c r="BB146" s="11">
        <f t="shared" si="135"/>
        <v>-638.5829046533605</v>
      </c>
      <c r="BC146" s="11">
        <f t="shared" si="167"/>
        <v>-2173.289199406782</v>
      </c>
      <c r="BE146" s="172">
        <f t="shared" si="146"/>
        <v>0.0267</v>
      </c>
      <c r="BF146" s="44">
        <f>BE146+Podsumowanie!$E$6</f>
        <v>0.0387</v>
      </c>
      <c r="BG146" s="11">
        <f>BG$5+SUM(BH$5:BH145)+SUM(R$5:R145)-SUM(S$5:S145)</f>
        <v>363050.2383233636</v>
      </c>
      <c r="BH146" s="10">
        <f t="shared" si="137"/>
        <v>-774.6376495021159</v>
      </c>
      <c r="BI146" s="10">
        <f t="shared" si="132"/>
        <v>-1170.8370185928475</v>
      </c>
      <c r="BJ146" s="10">
        <f>IF(U146&lt;0,PMT(BF146/12,Podsumowanie!E$8-SUM(AB$5:AB146)+1,BG146),0)</f>
        <v>-1945.4746680949634</v>
      </c>
      <c r="BL146" s="11">
        <f>BL$5+SUM(BN$5:BN145)+SUM(R$5:R145)-SUM(S$5:S145)</f>
        <v>317548.74651810573</v>
      </c>
      <c r="BM146" s="11">
        <f t="shared" si="140"/>
        <v>-1024.094707520891</v>
      </c>
      <c r="BN146" s="11">
        <f t="shared" si="141"/>
        <v>-1114.2061281337044</v>
      </c>
      <c r="BO146" s="11">
        <f t="shared" si="142"/>
        <v>-2138.300835654595</v>
      </c>
      <c r="BQ146" s="44">
        <f t="shared" si="147"/>
        <v>0.0388</v>
      </c>
      <c r="BR146" s="11">
        <f>BR$5+SUM(BS$5:BS145)+SUM(R$5:R145)-SUM(S$5:S145)+SUM(BV$5:BV145)</f>
        <v>396522.18891932373</v>
      </c>
      <c r="BS146" s="10">
        <f t="shared" si="157"/>
        <v>-844.9035419786958</v>
      </c>
      <c r="BT146" s="10">
        <f t="shared" si="158"/>
        <v>-1282.0884108391467</v>
      </c>
      <c r="BU146" s="10">
        <f>IF(U146&lt;0,PMT(BQ146/12,Podsumowanie!E$8-SUM(AB$5:AB146)+1,BR146),0)</f>
        <v>-2126.9919528178425</v>
      </c>
      <c r="BV146" s="10">
        <f t="shared" si="152"/>
        <v>-16.94763664438051</v>
      </c>
      <c r="BX146" s="11">
        <f>BX$5+SUM(BZ$5:BZ145)+SUM(R$5:R145)-SUM(S$5:S145)+SUM(CB$5,CB145)</f>
        <v>317365.5703864101</v>
      </c>
      <c r="BY146" s="10">
        <f t="shared" si="148"/>
        <v>-1026.1486775827261</v>
      </c>
      <c r="BZ146" s="10">
        <f t="shared" si="149"/>
        <v>-1113.5634048645968</v>
      </c>
      <c r="CA146" s="10">
        <f t="shared" si="159"/>
        <v>-2139.712082447323</v>
      </c>
      <c r="CB146" s="10">
        <f t="shared" si="160"/>
        <v>-4.227507014899857</v>
      </c>
      <c r="CD146" s="10">
        <f>CD$5+SUM(CE$5:CE145)+SUM(R$5:R145)-SUM(S$5:S145)-SUM(CF$5:CF145)</f>
        <v>381280.5313602342</v>
      </c>
      <c r="CE146" s="10">
        <f t="shared" si="153"/>
        <v>1026.1486775827261</v>
      </c>
      <c r="CF146" s="10">
        <f t="shared" si="154"/>
        <v>2143.939589462223</v>
      </c>
      <c r="CG146" s="10">
        <f t="shared" si="155"/>
        <v>1117.790911879497</v>
      </c>
      <c r="CI146" s="44">
        <v>0.4596</v>
      </c>
      <c r="CJ146" s="10">
        <f t="shared" si="156"/>
        <v>-985.35</v>
      </c>
      <c r="CK146" s="4">
        <f t="shared" si="161"/>
        <v>0</v>
      </c>
      <c r="CM146" s="10">
        <f t="shared" si="162"/>
        <v>-152000.61679865888</v>
      </c>
      <c r="CN146" s="4">
        <f t="shared" si="163"/>
        <v>-338.20137237701607</v>
      </c>
    </row>
    <row r="147" spans="1:92" ht="15.75">
      <c r="A147" s="36"/>
      <c r="B147" s="37">
        <v>41579</v>
      </c>
      <c r="C147" s="77">
        <f t="shared" si="144"/>
        <v>3.3996</v>
      </c>
      <c r="D147" s="78">
        <f>C147*(1+Podsumowanie!E$11)</f>
        <v>3.501588</v>
      </c>
      <c r="E147" s="34">
        <f t="shared" si="117"/>
        <v>-611.6107152030978</v>
      </c>
      <c r="F147" s="7">
        <f t="shared" si="138"/>
        <v>-2141.608741026585</v>
      </c>
      <c r="G147" s="7">
        <f t="shared" si="118"/>
        <v>-1348.9600309019397</v>
      </c>
      <c r="H147" s="7">
        <f t="shared" si="139"/>
        <v>792.6487101246453</v>
      </c>
      <c r="I147" s="32"/>
      <c r="J147" s="4" t="str">
        <f t="shared" si="164"/>
        <v xml:space="preserve"> </v>
      </c>
      <c r="K147" s="4">
        <f>IF(B147&lt;Podsumowanie!E$7,0,K146+1)</f>
        <v>77</v>
      </c>
      <c r="L147" s="100">
        <f t="shared" si="145"/>
        <v>0.0001</v>
      </c>
      <c r="M147" s="38">
        <f>L147+Podsumowanie!E$6</f>
        <v>0.0121</v>
      </c>
      <c r="N147" s="101">
        <f>MAX(Podsumowanie!E$4+SUM(AA$5:AA146)-SUM(X$5:X147)+SUM(W$5:W147),0)</f>
        <v>151433.4150142535</v>
      </c>
      <c r="O147" s="102">
        <f>MAX(Podsumowanie!E$2+SUM(V$5:V146)-SUM(S$5:S147)+SUM(R$5:R147),0)</f>
        <v>333999.42008762725</v>
      </c>
      <c r="P147" s="39">
        <f t="shared" si="133"/>
        <v>360</v>
      </c>
      <c r="Q147" s="40" t="str">
        <f>IF(AND(K147&gt;0,K147&lt;=Podsumowanie!E$9),"tak","nie")</f>
        <v>nie</v>
      </c>
      <c r="R147" s="41"/>
      <c r="S147" s="42"/>
      <c r="T147" s="88">
        <f t="shared" si="119"/>
        <v>-336.7827485883575</v>
      </c>
      <c r="U147" s="89">
        <f>IF(Q147="tak",T147,IF(P147-SUM(AB$5:AB147)+1&gt;0,IF(Podsumowanie!E$7&lt;B147,IF(SUM(AB$5:AB147)-Podsumowanie!E$9+1&gt;0,PMT(M147/12,P147+1-SUM(AB$5:AB147),O147),T147),0),0))</f>
        <v>-1348.9600309019397</v>
      </c>
      <c r="V147" s="89">
        <f t="shared" si="143"/>
        <v>-1012.1772823135823</v>
      </c>
      <c r="W147" s="90" t="str">
        <f>IF(R147&gt;0,R147/(C147*(1-Podsumowanie!E$11))," ")</f>
        <v xml:space="preserve"> </v>
      </c>
      <c r="X147" s="90">
        <f t="shared" si="150"/>
        <v>0</v>
      </c>
      <c r="Y147" s="91">
        <f aca="true" t="shared" si="168" ref="Y147:Y181">IF(AB147=1,-N147*M147/12,0)</f>
        <v>-152.69536013937227</v>
      </c>
      <c r="Z147" s="90">
        <f>IF(P147-SUM(AB$5:AB147)+1&gt;0,IF(Podsumowanie!E$7&lt;B147,IF(SUM(AB$5:AB147)-Podsumowanie!E$9+1&gt;0,PMT(M147/12,P147+1-SUM(AB$5:AB147),N147),Y147),0),0)</f>
        <v>-611.6107152030978</v>
      </c>
      <c r="AA147" s="90">
        <f t="shared" si="136"/>
        <v>-458.91535506372554</v>
      </c>
      <c r="AB147" s="8">
        <f>IF(AND(Podsumowanie!E$7&lt;B147,SUM(AB$5:AB146)&lt;P146),1," ")</f>
        <v>1</v>
      </c>
      <c r="AD147" s="51">
        <f>IF(OR(B147&lt;Podsumowanie!E$12,Podsumowanie!E$12=""),-F147+S147,0)</f>
        <v>2141.608741026585</v>
      </c>
      <c r="AE147" s="51">
        <f t="shared" si="151"/>
        <v>0</v>
      </c>
      <c r="AG147" s="10">
        <f>Podsumowanie!E$4-SUM(AI$5:AI146)+SUM(W$42:W147)-SUM(X$42:X147)</f>
        <v>143469.69813555223</v>
      </c>
      <c r="AH147" s="10">
        <f t="shared" si="120"/>
        <v>144.67</v>
      </c>
      <c r="AI147" s="10">
        <f t="shared" si="121"/>
        <v>505.17</v>
      </c>
      <c r="AJ147" s="10">
        <f t="shared" si="134"/>
        <v>649.84</v>
      </c>
      <c r="AK147" s="10">
        <f t="shared" si="165"/>
        <v>2275.47</v>
      </c>
      <c r="AL147" s="10">
        <f>Podsumowanie!E$2-SUM(AN$5:AN146)+SUM(R$42:R147)-SUM(S$42:S147)</f>
        <v>316434.24999999994</v>
      </c>
      <c r="AM147" s="10">
        <f t="shared" si="122"/>
        <v>319.07</v>
      </c>
      <c r="AN147" s="10">
        <f t="shared" si="123"/>
        <v>1114.21</v>
      </c>
      <c r="AO147" s="10">
        <f t="shared" si="124"/>
        <v>1433.28</v>
      </c>
      <c r="AP147" s="10">
        <f t="shared" si="125"/>
        <v>842.1899999999998</v>
      </c>
      <c r="AR147" s="43">
        <f t="shared" si="166"/>
        <v>41579</v>
      </c>
      <c r="AS147" s="11">
        <f>AS$5+SUM(AV$5:AV146)-SUM(X$5:X147)+SUM(W$5:W147)</f>
        <v>146890.4125638259</v>
      </c>
      <c r="AT147" s="10">
        <f t="shared" si="126"/>
        <v>-148.1144993351911</v>
      </c>
      <c r="AU147" s="10">
        <f>IF(AB147=1,IF(Q147="tak",AT147,PMT(M147/12,P147+1-SUM(AB$5:AB147),AS147)),0)</f>
        <v>-593.2623937470049</v>
      </c>
      <c r="AV147" s="10">
        <f t="shared" si="127"/>
        <v>-445.1478944118138</v>
      </c>
      <c r="AW147" s="10">
        <f t="shared" si="128"/>
        <v>-2016.8548337823179</v>
      </c>
      <c r="AY147" s="11">
        <f>AY$5+SUM(BA$5:BA146)+SUM(W$5:W146)-SUM(X$5:X146)</f>
        <v>139165.46719148563</v>
      </c>
      <c r="AZ147" s="11">
        <f t="shared" si="129"/>
        <v>-148.1144993351911</v>
      </c>
      <c r="BA147" s="11">
        <f t="shared" si="130"/>
        <v>-490.02</v>
      </c>
      <c r="BB147" s="11">
        <f t="shared" si="135"/>
        <v>-638.1344993351911</v>
      </c>
      <c r="BC147" s="11">
        <f t="shared" si="167"/>
        <v>-2169.4020439399155</v>
      </c>
      <c r="BE147" s="172">
        <f t="shared" si="146"/>
        <v>0.0265</v>
      </c>
      <c r="BF147" s="44">
        <f>BE147+Podsumowanie!$E$6</f>
        <v>0.0385</v>
      </c>
      <c r="BG147" s="11">
        <f>BG$5+SUM(BH$5:BH146)+SUM(R$5:R146)-SUM(S$5:S146)</f>
        <v>362275.6006738615</v>
      </c>
      <c r="BH147" s="10">
        <f t="shared" si="137"/>
        <v>-779.2488540402419</v>
      </c>
      <c r="BI147" s="10">
        <f t="shared" si="132"/>
        <v>-1162.3008854953057</v>
      </c>
      <c r="BJ147" s="10">
        <f>IF(U147&lt;0,PMT(BF147/12,Podsumowanie!E$8-SUM(AB$5:AB147)+1,BG147),0)</f>
        <v>-1941.5497395355476</v>
      </c>
      <c r="BL147" s="11">
        <f>BL$5+SUM(BN$5:BN146)+SUM(R$5:R146)-SUM(S$5:S146)</f>
        <v>316434.54038997204</v>
      </c>
      <c r="BM147" s="11">
        <f t="shared" si="140"/>
        <v>-1015.2274837511603</v>
      </c>
      <c r="BN147" s="11">
        <f t="shared" si="141"/>
        <v>-1114.2061281337044</v>
      </c>
      <c r="BO147" s="11">
        <f t="shared" si="142"/>
        <v>-2129.4336118848646</v>
      </c>
      <c r="BQ147" s="44">
        <f t="shared" si="147"/>
        <v>0.038599999999999995</v>
      </c>
      <c r="BR147" s="11">
        <f>BR$5+SUM(BS$5:BS146)+SUM(R$5:R146)-SUM(S$5:S146)+SUM(BV$5:BV146)</f>
        <v>395660.3377407007</v>
      </c>
      <c r="BS147" s="10">
        <f t="shared" si="157"/>
        <v>-849.9044178537904</v>
      </c>
      <c r="BT147" s="10">
        <f t="shared" si="158"/>
        <v>-1272.7074197325871</v>
      </c>
      <c r="BU147" s="10">
        <f>IF(U147&lt;0,PMT(BQ147/12,Podsumowanie!E$8-SUM(AB$5:AB147)+1,BR147),0)</f>
        <v>-2122.6118375863775</v>
      </c>
      <c r="BV147" s="10">
        <f t="shared" si="152"/>
        <v>-18.99690344020746</v>
      </c>
      <c r="BX147" s="11">
        <f>BX$5+SUM(BZ$5:BZ146)+SUM(R$5:R146)-SUM(S$5:S146)+SUM(CB$5,CB146)</f>
        <v>316262.9322277006</v>
      </c>
      <c r="BY147" s="10">
        <f t="shared" si="148"/>
        <v>-1017.3124319991034</v>
      </c>
      <c r="BZ147" s="10">
        <f t="shared" si="149"/>
        <v>-1113.6018740411994</v>
      </c>
      <c r="CA147" s="10">
        <f t="shared" si="159"/>
        <v>-2130.914306040303</v>
      </c>
      <c r="CB147" s="10">
        <f t="shared" si="160"/>
        <v>-10.694434986281976</v>
      </c>
      <c r="CD147" s="10">
        <f>CD$5+SUM(CE$5:CE146)+SUM(R$5:R146)-SUM(S$5:S146)-SUM(CF$5:CF146)</f>
        <v>380162.74044835474</v>
      </c>
      <c r="CE147" s="10">
        <f t="shared" si="153"/>
        <v>1017.3124319991034</v>
      </c>
      <c r="CF147" s="10">
        <f t="shared" si="154"/>
        <v>2141.608741026585</v>
      </c>
      <c r="CG147" s="10">
        <f t="shared" si="155"/>
        <v>1124.2963090274816</v>
      </c>
      <c r="CI147" s="44">
        <v>0.4567</v>
      </c>
      <c r="CJ147" s="10">
        <f t="shared" si="156"/>
        <v>-978.07</v>
      </c>
      <c r="CK147" s="4">
        <f t="shared" si="161"/>
        <v>0</v>
      </c>
      <c r="CM147" s="10">
        <f t="shared" si="162"/>
        <v>-154142.22553968546</v>
      </c>
      <c r="CN147" s="4">
        <f t="shared" si="163"/>
        <v>-340.39741473347203</v>
      </c>
    </row>
    <row r="148" spans="1:92" ht="15.75">
      <c r="A148" s="36"/>
      <c r="B148" s="37">
        <v>41609</v>
      </c>
      <c r="C148" s="77">
        <f t="shared" si="144"/>
        <v>3.4088</v>
      </c>
      <c r="D148" s="78">
        <f>C148*(1+Podsumowanie!E$11)</f>
        <v>3.5110639999999997</v>
      </c>
      <c r="E148" s="34">
        <f t="shared" si="117"/>
        <v>-611.6107152030976</v>
      </c>
      <c r="F148" s="7">
        <f t="shared" si="138"/>
        <v>-2147.4043641638486</v>
      </c>
      <c r="G148" s="7">
        <f t="shared" si="118"/>
        <v>-1348.9600309019388</v>
      </c>
      <c r="H148" s="7">
        <f t="shared" si="139"/>
        <v>798.4443332619098</v>
      </c>
      <c r="I148" s="32"/>
      <c r="J148" s="4" t="str">
        <f t="shared" si="164"/>
        <v xml:space="preserve"> </v>
      </c>
      <c r="K148" s="4">
        <f>IF(B148&lt;Podsumowanie!E$7,0,K147+1)</f>
        <v>78</v>
      </c>
      <c r="L148" s="100">
        <f t="shared" si="145"/>
        <v>0.0001</v>
      </c>
      <c r="M148" s="38">
        <f>L148+Podsumowanie!E$6</f>
        <v>0.0121</v>
      </c>
      <c r="N148" s="101">
        <f>MAX(Podsumowanie!E$4+SUM(AA$5:AA147)-SUM(X$5:X148)+SUM(W$5:W148),0)</f>
        <v>150974.49965918978</v>
      </c>
      <c r="O148" s="102">
        <f>MAX(Podsumowanie!E$2+SUM(V$5:V147)-SUM(S$5:S148)+SUM(R$5:R148),0)</f>
        <v>332987.24280531367</v>
      </c>
      <c r="P148" s="39">
        <f t="shared" si="133"/>
        <v>360</v>
      </c>
      <c r="Q148" s="40" t="str">
        <f>IF(AND(K148&gt;0,K148&lt;=Podsumowanie!E$9),"tak","nie")</f>
        <v>nie</v>
      </c>
      <c r="R148" s="41"/>
      <c r="S148" s="42"/>
      <c r="T148" s="88">
        <f t="shared" si="119"/>
        <v>-335.76213649535794</v>
      </c>
      <c r="U148" s="89">
        <f>IF(Q148="tak",T148,IF(P148-SUM(AB$5:AB148)+1&gt;0,IF(Podsumowanie!E$7&lt;B148,IF(SUM(AB$5:AB148)-Podsumowanie!E$9+1&gt;0,PMT(M148/12,P148+1-SUM(AB$5:AB148),O148),T148),0),0))</f>
        <v>-1348.9600309019388</v>
      </c>
      <c r="V148" s="89">
        <f t="shared" si="143"/>
        <v>-1013.1978944065809</v>
      </c>
      <c r="W148" s="90" t="str">
        <f>IF(R148&gt;0,R148/(C148*(1-Podsumowanie!E$11))," ")</f>
        <v xml:space="preserve"> </v>
      </c>
      <c r="X148" s="90">
        <f t="shared" si="150"/>
        <v>0</v>
      </c>
      <c r="Y148" s="91">
        <f t="shared" si="168"/>
        <v>-152.23262048968303</v>
      </c>
      <c r="Z148" s="90">
        <f>IF(P148-SUM(AB$5:AB148)+1&gt;0,IF(Podsumowanie!E$7&lt;B148,IF(SUM(AB$5:AB148)-Podsumowanie!E$9+1&gt;0,PMT(M148/12,P148+1-SUM(AB$5:AB148),N148),Y148),0),0)</f>
        <v>-611.6107152030976</v>
      </c>
      <c r="AA148" s="90">
        <f t="shared" si="136"/>
        <v>-459.37809471341455</v>
      </c>
      <c r="AB148" s="8">
        <f>IF(AND(Podsumowanie!E$7&lt;B148,SUM(AB$5:AB147)&lt;P147),1," ")</f>
        <v>1</v>
      </c>
      <c r="AD148" s="51">
        <f>IF(OR(B148&lt;Podsumowanie!E$12,Podsumowanie!E$12=""),-F148+S148,0)</f>
        <v>2147.4043641638486</v>
      </c>
      <c r="AE148" s="51">
        <f t="shared" si="151"/>
        <v>0</v>
      </c>
      <c r="AG148" s="10">
        <f>Podsumowanie!E$4-SUM(AI$5:AI147)+SUM(W$42:W148)-SUM(X$42:X148)</f>
        <v>142964.52813555225</v>
      </c>
      <c r="AH148" s="10">
        <f t="shared" si="120"/>
        <v>144.16</v>
      </c>
      <c r="AI148" s="10">
        <f t="shared" si="121"/>
        <v>505.18</v>
      </c>
      <c r="AJ148" s="10">
        <f t="shared" si="134"/>
        <v>649.34</v>
      </c>
      <c r="AK148" s="10">
        <f t="shared" si="165"/>
        <v>2279.87</v>
      </c>
      <c r="AL148" s="10">
        <f>Podsumowanie!E$2-SUM(AN$5:AN147)+SUM(R$42:R148)-SUM(S$42:S148)</f>
        <v>315320.0399999999</v>
      </c>
      <c r="AM148" s="10">
        <f t="shared" si="122"/>
        <v>317.95</v>
      </c>
      <c r="AN148" s="10">
        <f t="shared" si="123"/>
        <v>1114.21</v>
      </c>
      <c r="AO148" s="10">
        <f t="shared" si="124"/>
        <v>1432.16</v>
      </c>
      <c r="AP148" s="10">
        <f t="shared" si="125"/>
        <v>847.7099999999998</v>
      </c>
      <c r="AR148" s="43">
        <f t="shared" si="166"/>
        <v>41609</v>
      </c>
      <c r="AS148" s="11">
        <f>AS$5+SUM(AV$5:AV147)-SUM(X$5:X148)+SUM(W$5:W148)</f>
        <v>146445.2646694141</v>
      </c>
      <c r="AT148" s="10">
        <f t="shared" si="126"/>
        <v>-147.66564187499253</v>
      </c>
      <c r="AU148" s="10">
        <f>IF(AB148=1,IF(Q148="tak",AT148,PMT(M148/12,P148+1-SUM(AB$5:AB148),AS148)),0)</f>
        <v>-593.2623937470047</v>
      </c>
      <c r="AV148" s="10">
        <f t="shared" si="127"/>
        <v>-445.5967518720122</v>
      </c>
      <c r="AW148" s="10">
        <f t="shared" si="128"/>
        <v>-2022.3128478047895</v>
      </c>
      <c r="AY148" s="11">
        <f>AY$5+SUM(BA$5:BA147)+SUM(W$5:W147)-SUM(X$5:X147)</f>
        <v>138675.44719148564</v>
      </c>
      <c r="AZ148" s="11">
        <f t="shared" si="129"/>
        <v>-147.66564187499253</v>
      </c>
      <c r="BA148" s="11">
        <f t="shared" si="130"/>
        <v>-490.02</v>
      </c>
      <c r="BB148" s="11">
        <f t="shared" si="135"/>
        <v>-637.6856418749925</v>
      </c>
      <c r="BC148" s="11">
        <f t="shared" si="167"/>
        <v>-2173.7428160234745</v>
      </c>
      <c r="BE148" s="172">
        <f t="shared" si="146"/>
        <v>0.0267</v>
      </c>
      <c r="BF148" s="44">
        <f>BE148+Podsumowanie!$E$6</f>
        <v>0.0387</v>
      </c>
      <c r="BG148" s="11">
        <f>BG$5+SUM(BH$5:BH147)+SUM(R$5:R147)-SUM(S$5:S147)</f>
        <v>361496.3518198213</v>
      </c>
      <c r="BH148" s="10">
        <f t="shared" si="137"/>
        <v>-779.6375619635351</v>
      </c>
      <c r="BI148" s="10">
        <f t="shared" si="132"/>
        <v>-1165.8257346189237</v>
      </c>
      <c r="BJ148" s="10">
        <f>IF(U148&lt;0,PMT(BF148/12,Podsumowanie!E$8-SUM(AB$5:AB148)+1,BG148),0)</f>
        <v>-1945.4632965824587</v>
      </c>
      <c r="BL148" s="11">
        <f>BL$5+SUM(BN$5:BN147)+SUM(R$5:R147)-SUM(S$5:S147)</f>
        <v>315320.33426183835</v>
      </c>
      <c r="BM148" s="11">
        <f t="shared" si="140"/>
        <v>-1016.9080779944287</v>
      </c>
      <c r="BN148" s="11">
        <f t="shared" si="141"/>
        <v>-1114.2061281337044</v>
      </c>
      <c r="BO148" s="11">
        <f t="shared" si="142"/>
        <v>-2131.114206128133</v>
      </c>
      <c r="BQ148" s="44">
        <f t="shared" si="147"/>
        <v>0.0388</v>
      </c>
      <c r="BR148" s="11">
        <f>BR$5+SUM(BS$5:BS147)+SUM(R$5:R147)-SUM(S$5:S147)+SUM(BV$5:BV147)</f>
        <v>394791.4364194067</v>
      </c>
      <c r="BS148" s="10">
        <f t="shared" si="157"/>
        <v>-850.2937809550297</v>
      </c>
      <c r="BT148" s="10">
        <f t="shared" si="158"/>
        <v>-1276.492311089415</v>
      </c>
      <c r="BU148" s="10">
        <f>IF(U148&lt;0,PMT(BQ148/12,Podsumowanie!E$8-SUM(AB$5:AB148)+1,BR148),0)</f>
        <v>-2126.7860920444446</v>
      </c>
      <c r="BV148" s="10">
        <f t="shared" si="152"/>
        <v>-20.618272119404082</v>
      </c>
      <c r="BX148" s="11">
        <f>BX$5+SUM(BZ$5:BZ147)+SUM(R$5:R147)-SUM(S$5:S147)+SUM(CB$5,CB147)</f>
        <v>315142.86342568806</v>
      </c>
      <c r="BY148" s="10">
        <f t="shared" si="148"/>
        <v>-1018.9619250763914</v>
      </c>
      <c r="BZ148" s="10">
        <f t="shared" si="149"/>
        <v>-1113.5790227056116</v>
      </c>
      <c r="CA148" s="10">
        <f t="shared" si="159"/>
        <v>-2132.540947782003</v>
      </c>
      <c r="CB148" s="10">
        <f t="shared" si="160"/>
        <v>-14.863416381845582</v>
      </c>
      <c r="CD148" s="10">
        <f>CD$5+SUM(CE$5:CE147)+SUM(R$5:R147)-SUM(S$5:S147)-SUM(CF$5:CF147)</f>
        <v>379038.4441393273</v>
      </c>
      <c r="CE148" s="10">
        <f t="shared" si="153"/>
        <v>1018.9619250763914</v>
      </c>
      <c r="CF148" s="10">
        <f t="shared" si="154"/>
        <v>2147.4043641638486</v>
      </c>
      <c r="CG148" s="10">
        <f t="shared" si="155"/>
        <v>1128.4424390874574</v>
      </c>
      <c r="CI148" s="44">
        <v>0.4596</v>
      </c>
      <c r="CJ148" s="10">
        <f t="shared" si="156"/>
        <v>-986.95</v>
      </c>
      <c r="CK148" s="4">
        <f t="shared" si="161"/>
        <v>0</v>
      </c>
      <c r="CM148" s="10">
        <f t="shared" si="162"/>
        <v>-156289.6299038493</v>
      </c>
      <c r="CN148" s="4">
        <f t="shared" si="163"/>
        <v>-347.74442653606474</v>
      </c>
    </row>
    <row r="149" spans="1:92" ht="15.75">
      <c r="A149" s="36">
        <v>2014</v>
      </c>
      <c r="B149" s="37">
        <v>41640</v>
      </c>
      <c r="C149" s="77">
        <f t="shared" si="144"/>
        <v>3.3935</v>
      </c>
      <c r="D149" s="78">
        <f>C149*(1+Podsumowanie!E$11)</f>
        <v>3.495305</v>
      </c>
      <c r="E149" s="34">
        <f t="shared" si="117"/>
        <v>-611.6107152030977</v>
      </c>
      <c r="F149" s="7">
        <f t="shared" si="138"/>
        <v>-2137.7659909029635</v>
      </c>
      <c r="G149" s="7">
        <f t="shared" si="118"/>
        <v>-1348.9600309019393</v>
      </c>
      <c r="H149" s="7">
        <f t="shared" si="139"/>
        <v>788.8059600010242</v>
      </c>
      <c r="I149" s="32"/>
      <c r="J149" s="4" t="str">
        <f t="shared" si="164"/>
        <v xml:space="preserve"> </v>
      </c>
      <c r="K149" s="4">
        <f>IF(B149&lt;Podsumowanie!E$7,0,K148+1)</f>
        <v>79</v>
      </c>
      <c r="L149" s="100">
        <f t="shared" si="145"/>
        <v>0.0001</v>
      </c>
      <c r="M149" s="38">
        <f>L149+Podsumowanie!E$6</f>
        <v>0.0121</v>
      </c>
      <c r="N149" s="101">
        <f>MAX(Podsumowanie!E$4+SUM(AA$5:AA148)-SUM(X$5:X149)+SUM(W$5:W149),0)</f>
        <v>150515.12156447634</v>
      </c>
      <c r="O149" s="102">
        <f>MAX(Podsumowanie!E$2+SUM(V$5:V148)-SUM(S$5:S149)+SUM(R$5:R149),0)</f>
        <v>331974.0449109071</v>
      </c>
      <c r="P149" s="39">
        <f t="shared" si="133"/>
        <v>360</v>
      </c>
      <c r="Q149" s="40" t="str">
        <f>IF(AND(K149&gt;0,K149&lt;=Podsumowanie!E$9),"tak","nie")</f>
        <v>nie</v>
      </c>
      <c r="R149" s="41"/>
      <c r="S149" s="42"/>
      <c r="T149" s="88">
        <f t="shared" si="119"/>
        <v>-334.7404952851646</v>
      </c>
      <c r="U149" s="89">
        <f>IF(Q149="tak",T149,IF(P149-SUM(AB$5:AB149)+1&gt;0,IF(Podsumowanie!E$7&lt;B149,IF(SUM(AB$5:AB149)-Podsumowanie!E$9+1&gt;0,PMT(M149/12,P149+1-SUM(AB$5:AB149),O149),T149),0),0))</f>
        <v>-1348.9600309019393</v>
      </c>
      <c r="V149" s="89">
        <f t="shared" si="143"/>
        <v>-1014.2195356167747</v>
      </c>
      <c r="W149" s="90" t="str">
        <f>IF(R149&gt;0,R149/(C149*(1-Podsumowanie!E$11))," ")</f>
        <v xml:space="preserve"> </v>
      </c>
      <c r="X149" s="90">
        <f t="shared" si="150"/>
        <v>0</v>
      </c>
      <c r="Y149" s="91">
        <f t="shared" si="168"/>
        <v>-151.7694142441803</v>
      </c>
      <c r="Z149" s="90">
        <f>IF(P149-SUM(AB$5:AB149)+1&gt;0,IF(Podsumowanie!E$7&lt;B149,IF(SUM(AB$5:AB149)-Podsumowanie!E$9+1&gt;0,PMT(M149/12,P149+1-SUM(AB$5:AB149),N149),Y149),0),0)</f>
        <v>-611.6107152030977</v>
      </c>
      <c r="AA149" s="90">
        <f t="shared" si="136"/>
        <v>-459.8413009589174</v>
      </c>
      <c r="AB149" s="8">
        <f>IF(AND(Podsumowanie!E$7&lt;B149,SUM(AB$5:AB148)&lt;P148),1," ")</f>
        <v>1</v>
      </c>
      <c r="AD149" s="51">
        <f>IF(OR(B149&lt;Podsumowanie!E$12,Podsumowanie!E$12=""),-F149+S149,0)</f>
        <v>2137.7659909029635</v>
      </c>
      <c r="AE149" s="51">
        <f t="shared" si="151"/>
        <v>0</v>
      </c>
      <c r="AG149" s="10">
        <f>Podsumowanie!E$4-SUM(AI$5:AI148)+SUM(W$42:W149)-SUM(X$42:X149)</f>
        <v>142459.34813555222</v>
      </c>
      <c r="AH149" s="10">
        <f t="shared" si="120"/>
        <v>143.65</v>
      </c>
      <c r="AI149" s="10">
        <f t="shared" si="121"/>
        <v>505.17</v>
      </c>
      <c r="AJ149" s="10">
        <f t="shared" si="134"/>
        <v>648.82</v>
      </c>
      <c r="AK149" s="10">
        <f t="shared" si="165"/>
        <v>2267.82</v>
      </c>
      <c r="AL149" s="10">
        <f>Podsumowanie!E$2-SUM(AN$5:AN148)+SUM(R$42:R149)-SUM(S$42:S149)</f>
        <v>314205.82999999996</v>
      </c>
      <c r="AM149" s="10">
        <f t="shared" si="122"/>
        <v>316.82</v>
      </c>
      <c r="AN149" s="10">
        <f t="shared" si="123"/>
        <v>1114.21</v>
      </c>
      <c r="AO149" s="10">
        <f t="shared" si="124"/>
        <v>1431.03</v>
      </c>
      <c r="AP149" s="10">
        <f t="shared" si="125"/>
        <v>836.7900000000002</v>
      </c>
      <c r="AR149" s="43">
        <f t="shared" si="166"/>
        <v>41640</v>
      </c>
      <c r="AS149" s="11">
        <f>AS$5+SUM(AV$5:AV148)-SUM(X$5:X149)+SUM(W$5:W149)</f>
        <v>145999.66791754204</v>
      </c>
      <c r="AT149" s="10">
        <f t="shared" si="126"/>
        <v>-147.21633181685488</v>
      </c>
      <c r="AU149" s="10">
        <f>IF(AB149=1,IF(Q149="tak",AT149,PMT(M149/12,P149+1-SUM(AB$5:AB149),AS149)),0)</f>
        <v>-593.2623937470047</v>
      </c>
      <c r="AV149" s="10">
        <f t="shared" si="127"/>
        <v>-446.0460619301498</v>
      </c>
      <c r="AW149" s="10">
        <f t="shared" si="128"/>
        <v>-2013.2359331804605</v>
      </c>
      <c r="AY149" s="11">
        <f>AY$5+SUM(BA$5:BA148)+SUM(W$5:W148)-SUM(X$5:X148)</f>
        <v>138185.42719148565</v>
      </c>
      <c r="AZ149" s="11">
        <f t="shared" si="129"/>
        <v>-147.21633181685488</v>
      </c>
      <c r="BA149" s="11">
        <f t="shared" si="130"/>
        <v>-490.02</v>
      </c>
      <c r="BB149" s="11">
        <f t="shared" si="135"/>
        <v>-637.2363318168549</v>
      </c>
      <c r="BC149" s="11">
        <f t="shared" si="167"/>
        <v>-2162.461492020497</v>
      </c>
      <c r="BE149" s="172">
        <f t="shared" si="146"/>
        <v>0.027</v>
      </c>
      <c r="BF149" s="44">
        <f>BE149+Podsumowanie!$E$6</f>
        <v>0.039</v>
      </c>
      <c r="BG149" s="11">
        <f>BG$5+SUM(BH$5:BH148)+SUM(R$5:R148)-SUM(S$5:S148)</f>
        <v>360716.7142578577</v>
      </c>
      <c r="BH149" s="10">
        <f t="shared" si="137"/>
        <v>-778.9953840169335</v>
      </c>
      <c r="BI149" s="10">
        <f t="shared" si="132"/>
        <v>-1172.3293213380375</v>
      </c>
      <c r="BJ149" s="10">
        <f>IF(U149&lt;0,PMT(BF149/12,Podsumowanie!E$8-SUM(AB$5:AB149)+1,BG149),0)</f>
        <v>-1951.324705354971</v>
      </c>
      <c r="BL149" s="11">
        <f>BL$5+SUM(BN$5:BN148)+SUM(R$5:R148)-SUM(S$5:S148)</f>
        <v>314206.12813370465</v>
      </c>
      <c r="BM149" s="11">
        <f t="shared" si="140"/>
        <v>-1021.1699164345401</v>
      </c>
      <c r="BN149" s="11">
        <f t="shared" si="141"/>
        <v>-1114.2061281337044</v>
      </c>
      <c r="BO149" s="11">
        <f t="shared" si="142"/>
        <v>-2135.3760445682447</v>
      </c>
      <c r="BQ149" s="44">
        <f t="shared" si="147"/>
        <v>0.039099999999999996</v>
      </c>
      <c r="BR149" s="11">
        <f>BR$5+SUM(BS$5:BS148)+SUM(R$5:R148)-SUM(S$5:S148)+SUM(BV$5:BV148)</f>
        <v>393920.5243663322</v>
      </c>
      <c r="BS149" s="10">
        <f t="shared" si="157"/>
        <v>-849.5548973117757</v>
      </c>
      <c r="BT149" s="10">
        <f t="shared" si="158"/>
        <v>-1283.5243752269657</v>
      </c>
      <c r="BU149" s="10">
        <f>IF(U149&lt;0,PMT(BQ149/12,Podsumowanie!E$8-SUM(AB$5:AB149)+1,BR149),0)</f>
        <v>-2133.0792725387414</v>
      </c>
      <c r="BV149" s="10">
        <f t="shared" si="152"/>
        <v>-4.686718364222088</v>
      </c>
      <c r="BX149" s="11">
        <f>BX$5+SUM(BZ$5:BZ148)+SUM(R$5:R148)-SUM(S$5:S148)+SUM(CB$5,CB148)</f>
        <v>314025.11542158684</v>
      </c>
      <c r="BY149" s="10">
        <f t="shared" si="148"/>
        <v>-1023.1985010820036</v>
      </c>
      <c r="BZ149" s="10">
        <f t="shared" si="149"/>
        <v>-1113.5642390836413</v>
      </c>
      <c r="CA149" s="10">
        <f t="shared" si="159"/>
        <v>-2136.762740165645</v>
      </c>
      <c r="CB149" s="10">
        <f t="shared" si="160"/>
        <v>-1.0032507373184671</v>
      </c>
      <c r="CD149" s="10">
        <f>CD$5+SUM(CE$5:CE148)+SUM(R$5:R148)-SUM(S$5:S148)-SUM(CF$5:CF148)</f>
        <v>377910.0017002397</v>
      </c>
      <c r="CE149" s="10">
        <f t="shared" si="153"/>
        <v>1023.1985010820036</v>
      </c>
      <c r="CF149" s="10">
        <f t="shared" si="154"/>
        <v>2137.7659909029635</v>
      </c>
      <c r="CG149" s="10">
        <f t="shared" si="155"/>
        <v>1114.56748982096</v>
      </c>
      <c r="CI149" s="44">
        <v>0.4582</v>
      </c>
      <c r="CJ149" s="10">
        <f t="shared" si="156"/>
        <v>-979.52</v>
      </c>
      <c r="CK149" s="4">
        <f t="shared" si="161"/>
        <v>0</v>
      </c>
      <c r="CM149" s="10">
        <f t="shared" si="162"/>
        <v>-158427.39589475226</v>
      </c>
      <c r="CN149" s="4">
        <f t="shared" si="163"/>
        <v>-356.46164076319263</v>
      </c>
    </row>
    <row r="150" spans="1:92" ht="15.75">
      <c r="A150" s="36"/>
      <c r="B150" s="37">
        <v>41671</v>
      </c>
      <c r="C150" s="77">
        <f t="shared" si="144"/>
        <v>3.4205</v>
      </c>
      <c r="D150" s="78">
        <f>C150*(1+Podsumowanie!E$11)</f>
        <v>3.523115</v>
      </c>
      <c r="E150" s="34">
        <f t="shared" si="117"/>
        <v>-611.6107152030976</v>
      </c>
      <c r="F150" s="7">
        <f t="shared" si="138"/>
        <v>-2154.7748848927613</v>
      </c>
      <c r="G150" s="7">
        <f t="shared" si="118"/>
        <v>-1348.9600309019393</v>
      </c>
      <c r="H150" s="7">
        <f t="shared" si="139"/>
        <v>805.814853990822</v>
      </c>
      <c r="I150" s="32"/>
      <c r="J150" s="4" t="str">
        <f t="shared" si="164"/>
        <v xml:space="preserve"> </v>
      </c>
      <c r="K150" s="4">
        <f>IF(B150&lt;Podsumowanie!E$7,0,K149+1)</f>
        <v>80</v>
      </c>
      <c r="L150" s="100">
        <f t="shared" si="145"/>
        <v>0.0001</v>
      </c>
      <c r="M150" s="38">
        <f>L150+Podsumowanie!E$6</f>
        <v>0.0121</v>
      </c>
      <c r="N150" s="101">
        <f>MAX(Podsumowanie!E$4+SUM(AA$5:AA149)-SUM(X$5:X150)+SUM(W$5:W150),0)</f>
        <v>150055.28026351743</v>
      </c>
      <c r="O150" s="102">
        <f>MAX(Podsumowanie!E$2+SUM(V$5:V149)-SUM(S$5:S150)+SUM(R$5:R150),0)</f>
        <v>330959.82537529035</v>
      </c>
      <c r="P150" s="39">
        <f t="shared" si="133"/>
        <v>360</v>
      </c>
      <c r="Q150" s="40" t="str">
        <f>IF(AND(K150&gt;0,K150&lt;=Podsumowanie!E$9),"tak","nie")</f>
        <v>nie</v>
      </c>
      <c r="R150" s="41"/>
      <c r="S150" s="42"/>
      <c r="T150" s="88">
        <f t="shared" si="119"/>
        <v>-333.7178239200844</v>
      </c>
      <c r="U150" s="89">
        <f>IF(Q150="tak",T150,IF(P150-SUM(AB$5:AB150)+1&gt;0,IF(Podsumowanie!E$7&lt;B150,IF(SUM(AB$5:AB150)-Podsumowanie!E$9+1&gt;0,PMT(M150/12,P150+1-SUM(AB$5:AB150),O150),T150),0),0))</f>
        <v>-1348.9600309019393</v>
      </c>
      <c r="V150" s="89">
        <f t="shared" si="143"/>
        <v>-1015.2422069818549</v>
      </c>
      <c r="W150" s="90" t="str">
        <f>IF(R150&gt;0,R150/(C150*(1-Podsumowanie!E$11))," ")</f>
        <v xml:space="preserve"> </v>
      </c>
      <c r="X150" s="90">
        <f t="shared" si="150"/>
        <v>0</v>
      </c>
      <c r="Y150" s="91">
        <f t="shared" si="168"/>
        <v>-151.30574093238008</v>
      </c>
      <c r="Z150" s="90">
        <f>IF(P150-SUM(AB$5:AB150)+1&gt;0,IF(Podsumowanie!E$7&lt;B150,IF(SUM(AB$5:AB150)-Podsumowanie!E$9+1&gt;0,PMT(M150/12,P150+1-SUM(AB$5:AB150),N150),Y150),0),0)</f>
        <v>-611.6107152030976</v>
      </c>
      <c r="AA150" s="90">
        <f t="shared" si="136"/>
        <v>-460.3049742707175</v>
      </c>
      <c r="AB150" s="8">
        <f>IF(AND(Podsumowanie!E$7&lt;B150,SUM(AB$5:AB149)&lt;P149),1," ")</f>
        <v>1</v>
      </c>
      <c r="AD150" s="51">
        <f>IF(OR(B150&lt;Podsumowanie!E$12,Podsumowanie!E$12=""),-F150+S150,0)</f>
        <v>2154.7748848927613</v>
      </c>
      <c r="AE150" s="51">
        <f t="shared" si="151"/>
        <v>0</v>
      </c>
      <c r="AG150" s="10">
        <f>Podsumowanie!E$4-SUM(AI$5:AI149)+SUM(W$42:W150)-SUM(X$42:X150)</f>
        <v>141954.17813555224</v>
      </c>
      <c r="AH150" s="10">
        <f t="shared" si="120"/>
        <v>143.14</v>
      </c>
      <c r="AI150" s="10">
        <f t="shared" si="121"/>
        <v>505.18</v>
      </c>
      <c r="AJ150" s="10">
        <f t="shared" si="134"/>
        <v>648.3199999999999</v>
      </c>
      <c r="AK150" s="10">
        <f t="shared" si="165"/>
        <v>2284.11</v>
      </c>
      <c r="AL150" s="10">
        <f>Podsumowanie!E$2-SUM(AN$5:AN149)+SUM(R$42:R150)-SUM(S$42:S150)</f>
        <v>313091.61999999994</v>
      </c>
      <c r="AM150" s="10">
        <f t="shared" si="122"/>
        <v>315.7</v>
      </c>
      <c r="AN150" s="10">
        <f t="shared" si="123"/>
        <v>1114.21</v>
      </c>
      <c r="AO150" s="10">
        <f t="shared" si="124"/>
        <v>1429.91</v>
      </c>
      <c r="AP150" s="10">
        <f t="shared" si="125"/>
        <v>854.2</v>
      </c>
      <c r="AR150" s="43">
        <f t="shared" si="166"/>
        <v>41671</v>
      </c>
      <c r="AS150" s="11">
        <f>AS$5+SUM(AV$5:AV149)-SUM(X$5:X150)+SUM(W$5:W150)</f>
        <v>145553.6218556119</v>
      </c>
      <c r="AT150" s="10">
        <f t="shared" si="126"/>
        <v>-146.76656870440868</v>
      </c>
      <c r="AU150" s="10">
        <f>IF(AB150=1,IF(Q150="tak",AT150,PMT(M150/12,P150+1-SUM(AB$5:AB150),AS150)),0)</f>
        <v>-593.2623937470047</v>
      </c>
      <c r="AV150" s="10">
        <f t="shared" si="127"/>
        <v>-446.49582504259604</v>
      </c>
      <c r="AW150" s="10">
        <f t="shared" si="128"/>
        <v>-2029.2540178116296</v>
      </c>
      <c r="AY150" s="11">
        <f>AY$5+SUM(BA$5:BA149)+SUM(W$5:W149)-SUM(X$5:X149)</f>
        <v>137695.40719148563</v>
      </c>
      <c r="AZ150" s="11">
        <f t="shared" si="129"/>
        <v>-146.76656870440868</v>
      </c>
      <c r="BA150" s="11">
        <f t="shared" si="130"/>
        <v>-490.02</v>
      </c>
      <c r="BB150" s="11">
        <f t="shared" si="135"/>
        <v>-636.7865687044086</v>
      </c>
      <c r="BC150" s="11">
        <f t="shared" si="167"/>
        <v>-2178.12845825343</v>
      </c>
      <c r="BE150" s="172">
        <f t="shared" si="146"/>
        <v>0.0271</v>
      </c>
      <c r="BF150" s="44">
        <f>BE150+Podsumowanie!$E$6</f>
        <v>0.039099999999999996</v>
      </c>
      <c r="BG150" s="11">
        <f>BG$5+SUM(BH$5:BH149)+SUM(R$5:R149)-SUM(S$5:S149)</f>
        <v>359937.7188738408</v>
      </c>
      <c r="BH150" s="10">
        <f t="shared" si="137"/>
        <v>-780.4779063257258</v>
      </c>
      <c r="BI150" s="10">
        <f t="shared" si="132"/>
        <v>-1172.7970673305979</v>
      </c>
      <c r="BJ150" s="10">
        <f>IF(U150&lt;0,PMT(BF150/12,Podsumowanie!E$8-SUM(AB$5:AB150)+1,BG150),0)</f>
        <v>-1953.2749736563237</v>
      </c>
      <c r="BL150" s="11">
        <f>BL$5+SUM(BN$5:BN149)+SUM(R$5:R149)-SUM(S$5:S149)</f>
        <v>313091.9220055709</v>
      </c>
      <c r="BM150" s="11">
        <f t="shared" si="140"/>
        <v>-1020.1578458681516</v>
      </c>
      <c r="BN150" s="11">
        <f t="shared" si="141"/>
        <v>-1114.2061281337042</v>
      </c>
      <c r="BO150" s="11">
        <f t="shared" si="142"/>
        <v>-2134.3639740018557</v>
      </c>
      <c r="BQ150" s="44">
        <f t="shared" si="147"/>
        <v>0.0392</v>
      </c>
      <c r="BR150" s="11">
        <f>BR$5+SUM(BS$5:BS149)+SUM(R$5:R149)-SUM(S$5:S149)+SUM(BV$5:BV149)</f>
        <v>393066.28275065625</v>
      </c>
      <c r="BS150" s="10">
        <f t="shared" si="157"/>
        <v>-851.1682602978315</v>
      </c>
      <c r="BT150" s="10">
        <f t="shared" si="158"/>
        <v>-1284.0165236521436</v>
      </c>
      <c r="BU150" s="10">
        <f>IF(U150&lt;0,PMT(BQ150/12,Podsumowanie!E$8-SUM(AB$5:AB150)+1,BR150),0)</f>
        <v>-2135.184783949975</v>
      </c>
      <c r="BV150" s="10">
        <f t="shared" si="152"/>
        <v>-19.590100942786194</v>
      </c>
      <c r="BX150" s="11">
        <f>BX$5+SUM(BZ$5:BZ149)+SUM(R$5:R149)-SUM(S$5:S149)+SUM(CB$5,CB149)</f>
        <v>312925.4113481477</v>
      </c>
      <c r="BY150" s="10">
        <f t="shared" si="148"/>
        <v>-1022.2230104039492</v>
      </c>
      <c r="BZ150" s="10">
        <f t="shared" si="149"/>
        <v>-1113.61356351654</v>
      </c>
      <c r="CA150" s="10">
        <f t="shared" si="159"/>
        <v>-2135.836573920489</v>
      </c>
      <c r="CB150" s="10">
        <f t="shared" si="160"/>
        <v>-18.93831097227212</v>
      </c>
      <c r="CD150" s="10">
        <f>CD$5+SUM(CE$5:CE149)+SUM(R$5:R149)-SUM(S$5:S149)-SUM(CF$5:CF149)</f>
        <v>376795.43421041884</v>
      </c>
      <c r="CE150" s="10">
        <f t="shared" si="153"/>
        <v>1022.2230104039492</v>
      </c>
      <c r="CF150" s="10">
        <f t="shared" si="154"/>
        <v>2154.7748848927613</v>
      </c>
      <c r="CG150" s="10">
        <f t="shared" si="155"/>
        <v>1132.5518744888122</v>
      </c>
      <c r="CI150" s="44">
        <v>0.4567</v>
      </c>
      <c r="CJ150" s="10">
        <f t="shared" si="156"/>
        <v>-984.09</v>
      </c>
      <c r="CK150" s="4">
        <f t="shared" si="161"/>
        <v>0</v>
      </c>
      <c r="CM150" s="10">
        <f t="shared" si="162"/>
        <v>-160582.17077964504</v>
      </c>
      <c r="CN150" s="4">
        <f t="shared" si="163"/>
        <v>-362.6480690106984</v>
      </c>
    </row>
    <row r="151" spans="1:92" ht="15.75">
      <c r="A151" s="36"/>
      <c r="B151" s="37">
        <v>41699</v>
      </c>
      <c r="C151" s="77">
        <f t="shared" si="144"/>
        <v>3.4471</v>
      </c>
      <c r="D151" s="78">
        <f>C151*(1+Podsumowanie!E$11)</f>
        <v>3.550513</v>
      </c>
      <c r="E151" s="34">
        <f t="shared" si="117"/>
        <v>-611.6107152030976</v>
      </c>
      <c r="F151" s="7">
        <f t="shared" si="138"/>
        <v>-2171.5317952678956</v>
      </c>
      <c r="G151" s="7">
        <f t="shared" si="118"/>
        <v>-1348.9600309019393</v>
      </c>
      <c r="H151" s="7">
        <f t="shared" si="139"/>
        <v>822.5717643659564</v>
      </c>
      <c r="I151" s="32"/>
      <c r="J151" s="4" t="str">
        <f t="shared" si="164"/>
        <v xml:space="preserve"> </v>
      </c>
      <c r="K151" s="4">
        <f>IF(B151&lt;Podsumowanie!E$7,0,K150+1)</f>
        <v>81</v>
      </c>
      <c r="L151" s="100">
        <f t="shared" si="145"/>
        <v>0.0001</v>
      </c>
      <c r="M151" s="38">
        <f>L151+Podsumowanie!E$6</f>
        <v>0.0121</v>
      </c>
      <c r="N151" s="101">
        <f>MAX(Podsumowanie!E$4+SUM(AA$5:AA150)-SUM(X$5:X151)+SUM(W$5:W151),0)</f>
        <v>149594.9752892467</v>
      </c>
      <c r="O151" s="102">
        <f>MAX(Podsumowanie!E$2+SUM(V$5:V150)-SUM(S$5:S151)+SUM(R$5:R151),0)</f>
        <v>329944.5831683085</v>
      </c>
      <c r="P151" s="39">
        <f t="shared" si="133"/>
        <v>360</v>
      </c>
      <c r="Q151" s="40" t="str">
        <f>IF(AND(K151&gt;0,K151&lt;=Podsumowanie!E$9),"tak","nie")</f>
        <v>nie</v>
      </c>
      <c r="R151" s="41"/>
      <c r="S151" s="42"/>
      <c r="T151" s="88">
        <f t="shared" si="119"/>
        <v>-332.6941213613777</v>
      </c>
      <c r="U151" s="89">
        <f>IF(Q151="tak",T151,IF(P151-SUM(AB$5:AB151)+1&gt;0,IF(Podsumowanie!E$7&lt;B151,IF(SUM(AB$5:AB151)-Podsumowanie!E$9+1&gt;0,PMT(M151/12,P151+1-SUM(AB$5:AB151),O151),T151),0),0))</f>
        <v>-1348.9600309019393</v>
      </c>
      <c r="V151" s="89">
        <f t="shared" si="143"/>
        <v>-1016.2659095405616</v>
      </c>
      <c r="W151" s="90" t="str">
        <f>IF(R151&gt;0,R151/(C151*(1-Podsumowanie!E$11))," ")</f>
        <v xml:space="preserve"> </v>
      </c>
      <c r="X151" s="90">
        <f t="shared" si="150"/>
        <v>0</v>
      </c>
      <c r="Y151" s="91">
        <f t="shared" si="168"/>
        <v>-150.84160008332375</v>
      </c>
      <c r="Z151" s="90">
        <f>IF(P151-SUM(AB$5:AB151)+1&gt;0,IF(Podsumowanie!E$7&lt;B151,IF(SUM(AB$5:AB151)-Podsumowanie!E$9+1&gt;0,PMT(M151/12,P151+1-SUM(AB$5:AB151),N151),Y151),0),0)</f>
        <v>-611.6107152030976</v>
      </c>
      <c r="AA151" s="90">
        <f t="shared" si="136"/>
        <v>-460.7691151197738</v>
      </c>
      <c r="AB151" s="8">
        <f>IF(AND(Podsumowanie!E$7&lt;B151,SUM(AB$5:AB150)&lt;P150),1," ")</f>
        <v>1</v>
      </c>
      <c r="AD151" s="51">
        <f>IF(OR(B151&lt;Podsumowanie!E$12,Podsumowanie!E$12=""),-F151+S151,0)</f>
        <v>2171.5317952678956</v>
      </c>
      <c r="AE151" s="51">
        <f t="shared" si="151"/>
        <v>0</v>
      </c>
      <c r="AG151" s="10">
        <f>Podsumowanie!E$4-SUM(AI$5:AI150)+SUM(W$42:W151)-SUM(X$42:X151)</f>
        <v>141448.99813555222</v>
      </c>
      <c r="AH151" s="10">
        <f t="shared" si="120"/>
        <v>142.63</v>
      </c>
      <c r="AI151" s="10">
        <f t="shared" si="121"/>
        <v>505.17</v>
      </c>
      <c r="AJ151" s="10">
        <f t="shared" si="134"/>
        <v>647.8</v>
      </c>
      <c r="AK151" s="10">
        <f t="shared" si="165"/>
        <v>2300.02</v>
      </c>
      <c r="AL151" s="10">
        <f>Podsumowanie!E$2-SUM(AN$5:AN150)+SUM(R$42:R151)-SUM(S$42:S151)</f>
        <v>311977.4099999999</v>
      </c>
      <c r="AM151" s="10">
        <f t="shared" si="122"/>
        <v>314.58</v>
      </c>
      <c r="AN151" s="10">
        <f t="shared" si="123"/>
        <v>1114.21</v>
      </c>
      <c r="AO151" s="10">
        <f t="shared" si="124"/>
        <v>1428.79</v>
      </c>
      <c r="AP151" s="10">
        <f t="shared" si="125"/>
        <v>871.23</v>
      </c>
      <c r="AR151" s="43">
        <f t="shared" si="166"/>
        <v>41699</v>
      </c>
      <c r="AS151" s="11">
        <f>AS$5+SUM(AV$5:AV150)-SUM(X$5:X151)+SUM(W$5:W151)</f>
        <v>145107.1260305693</v>
      </c>
      <c r="AT151" s="10">
        <f t="shared" si="126"/>
        <v>-146.31635208082406</v>
      </c>
      <c r="AU151" s="10">
        <f>IF(AB151=1,IF(Q151="tak",AT151,PMT(M151/12,P151+1-SUM(AB$5:AB151),AS151)),0)</f>
        <v>-593.2623937470048</v>
      </c>
      <c r="AV151" s="10">
        <f t="shared" si="127"/>
        <v>-446.94604166618075</v>
      </c>
      <c r="AW151" s="10">
        <f t="shared" si="128"/>
        <v>-2045.0347974853003</v>
      </c>
      <c r="AY151" s="11">
        <f>AY$5+SUM(BA$5:BA150)+SUM(W$5:W150)-SUM(X$5:X150)</f>
        <v>137205.38719148564</v>
      </c>
      <c r="AZ151" s="11">
        <f t="shared" si="129"/>
        <v>-146.31635208082406</v>
      </c>
      <c r="BA151" s="11">
        <f t="shared" si="130"/>
        <v>-490.02</v>
      </c>
      <c r="BB151" s="11">
        <f t="shared" si="135"/>
        <v>-636.3363520808241</v>
      </c>
      <c r="BC151" s="11">
        <f t="shared" si="167"/>
        <v>-2193.5150392578084</v>
      </c>
      <c r="BE151" s="172">
        <f t="shared" si="146"/>
        <v>0.0271</v>
      </c>
      <c r="BF151" s="44">
        <f>BE151+Podsumowanie!$E$6</f>
        <v>0.039099999999999996</v>
      </c>
      <c r="BG151" s="11">
        <f>BG$5+SUM(BH$5:BH150)+SUM(R$5:R150)-SUM(S$5:S150)</f>
        <v>359157.24096751504</v>
      </c>
      <c r="BH151" s="10">
        <f t="shared" si="137"/>
        <v>-783.0209635038368</v>
      </c>
      <c r="BI151" s="10">
        <f t="shared" si="132"/>
        <v>-1170.2540101524864</v>
      </c>
      <c r="BJ151" s="10">
        <f>IF(U151&lt;0,PMT(BF151/12,Podsumowanie!E$8-SUM(AB$5:AB151)+1,BG151),0)</f>
        <v>-1953.2749736563233</v>
      </c>
      <c r="BL151" s="11">
        <f>BL$5+SUM(BN$5:BN150)+SUM(R$5:R150)-SUM(S$5:S150)</f>
        <v>311977.7158774372</v>
      </c>
      <c r="BM151" s="11">
        <f t="shared" si="140"/>
        <v>-1016.5273909006495</v>
      </c>
      <c r="BN151" s="11">
        <f t="shared" si="141"/>
        <v>-1114.2061281337044</v>
      </c>
      <c r="BO151" s="11">
        <f t="shared" si="142"/>
        <v>-2130.733519034354</v>
      </c>
      <c r="BQ151" s="44">
        <f t="shared" si="147"/>
        <v>0.0392</v>
      </c>
      <c r="BR151" s="11">
        <f>BR$5+SUM(BS$5:BS150)+SUM(R$5:R150)-SUM(S$5:S150)+SUM(BV$5:BV150)</f>
        <v>392195.52438941563</v>
      </c>
      <c r="BS151" s="10">
        <f t="shared" si="157"/>
        <v>-853.9060908148451</v>
      </c>
      <c r="BT151" s="10">
        <f t="shared" si="158"/>
        <v>-1281.1720463387576</v>
      </c>
      <c r="BU151" s="10">
        <f>IF(U151&lt;0,PMT(BQ151/12,Podsumowanie!E$8-SUM(AB$5:AB151)+1,BR151),0)</f>
        <v>-2135.0781371536027</v>
      </c>
      <c r="BV151" s="10">
        <f t="shared" si="152"/>
        <v>-36.45365811429292</v>
      </c>
      <c r="BX151" s="11">
        <f>BX$5+SUM(BZ$5:BZ150)+SUM(R$5:R150)-SUM(S$5:S150)+SUM(CB$5,CB150)</f>
        <v>311793.8627243962</v>
      </c>
      <c r="BY151" s="10">
        <f t="shared" si="148"/>
        <v>-1018.5266182330275</v>
      </c>
      <c r="BZ151" s="10">
        <f t="shared" si="149"/>
        <v>-1113.5495097299865</v>
      </c>
      <c r="CA151" s="10">
        <f t="shared" si="159"/>
        <v>-2132.076127963014</v>
      </c>
      <c r="CB151" s="10">
        <f t="shared" si="160"/>
        <v>-39.455667304881445</v>
      </c>
      <c r="CD151" s="10">
        <f>CD$5+SUM(CE$5:CE150)+SUM(R$5:R150)-SUM(S$5:S150)-SUM(CF$5:CF150)</f>
        <v>375662.88233592996</v>
      </c>
      <c r="CE151" s="10">
        <f t="shared" si="153"/>
        <v>1018.5266182330275</v>
      </c>
      <c r="CF151" s="10">
        <f t="shared" si="154"/>
        <v>2171.5317952678956</v>
      </c>
      <c r="CG151" s="10">
        <f t="shared" si="155"/>
        <v>1153.0051770348682</v>
      </c>
      <c r="CI151" s="44">
        <v>0.4553</v>
      </c>
      <c r="CJ151" s="10">
        <f t="shared" si="156"/>
        <v>-988.7</v>
      </c>
      <c r="CK151" s="4">
        <f t="shared" si="161"/>
        <v>0</v>
      </c>
      <c r="CM151" s="10">
        <f t="shared" si="162"/>
        <v>-162753.70257491292</v>
      </c>
      <c r="CN151" s="4">
        <f t="shared" si="163"/>
        <v>-367.55211164834503</v>
      </c>
    </row>
    <row r="152" spans="1:92" ht="15.75">
      <c r="A152" s="36"/>
      <c r="B152" s="37">
        <v>41730</v>
      </c>
      <c r="C152" s="77">
        <f t="shared" si="144"/>
        <v>3.4317</v>
      </c>
      <c r="D152" s="78">
        <f>C152*(1+Podsumowanie!E$11)</f>
        <v>3.534651</v>
      </c>
      <c r="E152" s="34">
        <f t="shared" si="117"/>
        <v>-611.6107152030977</v>
      </c>
      <c r="F152" s="7">
        <f t="shared" si="138"/>
        <v>-2161.8304261033445</v>
      </c>
      <c r="G152" s="7">
        <f t="shared" si="118"/>
        <v>-1348.9600309019393</v>
      </c>
      <c r="H152" s="7">
        <f t="shared" si="139"/>
        <v>812.8703952014052</v>
      </c>
      <c r="I152" s="32"/>
      <c r="J152" s="4" t="str">
        <f t="shared" si="164"/>
        <v xml:space="preserve"> </v>
      </c>
      <c r="K152" s="4">
        <f>IF(B152&lt;Podsumowanie!E$7,0,K151+1)</f>
        <v>82</v>
      </c>
      <c r="L152" s="100">
        <f t="shared" si="145"/>
        <v>0.0001</v>
      </c>
      <c r="M152" s="38">
        <f>L152+Podsumowanie!E$6</f>
        <v>0.0121</v>
      </c>
      <c r="N152" s="101">
        <f>MAX(Podsumowanie!E$4+SUM(AA$5:AA151)-SUM(X$5:X152)+SUM(W$5:W152),0)</f>
        <v>149134.20617412694</v>
      </c>
      <c r="O152" s="102">
        <f>MAX(Podsumowanie!E$2+SUM(V$5:V151)-SUM(S$5:S152)+SUM(R$5:R152),0)</f>
        <v>328928.3172587679</v>
      </c>
      <c r="P152" s="39">
        <f t="shared" si="133"/>
        <v>360</v>
      </c>
      <c r="Q152" s="40" t="str">
        <f>IF(AND(K152&gt;0,K152&lt;=Podsumowanie!E$9),"tak","nie")</f>
        <v>nie</v>
      </c>
      <c r="R152" s="41"/>
      <c r="S152" s="42"/>
      <c r="T152" s="88">
        <f t="shared" si="119"/>
        <v>-331.6693865692576</v>
      </c>
      <c r="U152" s="89">
        <f>IF(Q152="tak",T152,IF(P152-SUM(AB$5:AB152)+1&gt;0,IF(Podsumowanie!E$7&lt;B152,IF(SUM(AB$5:AB152)-Podsumowanie!E$9+1&gt;0,PMT(M152/12,P152+1-SUM(AB$5:AB152),O152),T152),0),0))</f>
        <v>-1348.9600309019393</v>
      </c>
      <c r="V152" s="89">
        <f t="shared" si="143"/>
        <v>-1017.2906443326817</v>
      </c>
      <c r="W152" s="90" t="str">
        <f>IF(R152&gt;0,R152/(C152*(1-Podsumowanie!E$11))," ")</f>
        <v xml:space="preserve"> </v>
      </c>
      <c r="X152" s="90">
        <f t="shared" si="150"/>
        <v>0</v>
      </c>
      <c r="Y152" s="91">
        <f t="shared" si="168"/>
        <v>-150.376991225578</v>
      </c>
      <c r="Z152" s="90">
        <f>IF(P152-SUM(AB$5:AB152)+1&gt;0,IF(Podsumowanie!E$7&lt;B152,IF(SUM(AB$5:AB152)-Podsumowanie!E$9+1&gt;0,PMT(M152/12,P152+1-SUM(AB$5:AB152),N152),Y152),0),0)</f>
        <v>-611.6107152030977</v>
      </c>
      <c r="AA152" s="90">
        <f t="shared" si="136"/>
        <v>-461.23372397751973</v>
      </c>
      <c r="AB152" s="8">
        <f>IF(AND(Podsumowanie!E$7&lt;B152,SUM(AB$5:AB151)&lt;P151),1," ")</f>
        <v>1</v>
      </c>
      <c r="AD152" s="51">
        <f>IF(OR(B152&lt;Podsumowanie!E$12,Podsumowanie!E$12=""),-F152+S152,0)</f>
        <v>2161.8304261033445</v>
      </c>
      <c r="AE152" s="51">
        <f t="shared" si="151"/>
        <v>0</v>
      </c>
      <c r="AG152" s="10">
        <f>Podsumowanie!E$4-SUM(AI$5:AI151)+SUM(W$42:W152)-SUM(X$42:X152)</f>
        <v>140943.82813555223</v>
      </c>
      <c r="AH152" s="10">
        <f t="shared" si="120"/>
        <v>142.12</v>
      </c>
      <c r="AI152" s="10">
        <f t="shared" si="121"/>
        <v>505.18</v>
      </c>
      <c r="AJ152" s="10">
        <f t="shared" si="134"/>
        <v>647.3</v>
      </c>
      <c r="AK152" s="10">
        <f t="shared" si="165"/>
        <v>2287.98</v>
      </c>
      <c r="AL152" s="10">
        <f>Podsumowanie!E$2-SUM(AN$5:AN151)+SUM(R$42:R152)-SUM(S$42:S152)</f>
        <v>310863.1999999999</v>
      </c>
      <c r="AM152" s="10">
        <f t="shared" si="122"/>
        <v>313.45</v>
      </c>
      <c r="AN152" s="10">
        <f t="shared" si="123"/>
        <v>1114.21</v>
      </c>
      <c r="AO152" s="10">
        <f t="shared" si="124"/>
        <v>1427.66</v>
      </c>
      <c r="AP152" s="10">
        <f t="shared" si="125"/>
        <v>860.3199999999999</v>
      </c>
      <c r="AR152" s="43">
        <f t="shared" si="166"/>
        <v>41730</v>
      </c>
      <c r="AS152" s="11">
        <f>AS$5+SUM(AV$5:AV151)-SUM(X$5:X152)+SUM(W$5:W152)</f>
        <v>144660.17998890314</v>
      </c>
      <c r="AT152" s="10">
        <f t="shared" si="126"/>
        <v>-145.86568148881068</v>
      </c>
      <c r="AU152" s="10">
        <f>IF(AB152=1,IF(Q152="tak",AT152,PMT(M152/12,P152+1-SUM(AB$5:AB152),AS152)),0)</f>
        <v>-593.2623937470048</v>
      </c>
      <c r="AV152" s="10">
        <f t="shared" si="127"/>
        <v>-447.39671225819416</v>
      </c>
      <c r="AW152" s="10">
        <f t="shared" si="128"/>
        <v>-2035.8985566215965</v>
      </c>
      <c r="AY152" s="11">
        <f>AY$5+SUM(BA$5:BA151)+SUM(W$5:W151)-SUM(X$5:X151)</f>
        <v>136715.36719148565</v>
      </c>
      <c r="AZ152" s="11">
        <f t="shared" si="129"/>
        <v>-145.86568148881068</v>
      </c>
      <c r="BA152" s="11">
        <f t="shared" si="130"/>
        <v>-490.02</v>
      </c>
      <c r="BB152" s="11">
        <f t="shared" si="135"/>
        <v>-635.8856814888106</v>
      </c>
      <c r="BC152" s="11">
        <f t="shared" si="167"/>
        <v>-2182.1688931651515</v>
      </c>
      <c r="BE152" s="172">
        <f t="shared" si="146"/>
        <v>0.0272</v>
      </c>
      <c r="BF152" s="44">
        <f>BE152+Podsumowanie!$E$6</f>
        <v>0.0392</v>
      </c>
      <c r="BG152" s="11">
        <f>BG$5+SUM(BH$5:BH151)+SUM(R$5:R151)-SUM(S$5:S151)</f>
        <v>358374.22000401124</v>
      </c>
      <c r="BH152" s="10">
        <f t="shared" si="137"/>
        <v>-784.5257786691006</v>
      </c>
      <c r="BI152" s="10">
        <f t="shared" si="132"/>
        <v>-1170.68911867977</v>
      </c>
      <c r="BJ152" s="10">
        <f>IF(U152&lt;0,PMT(BF152/12,Podsumowanie!E$8-SUM(AB$5:AB152)+1,BG152),0)</f>
        <v>-1955.2148973488706</v>
      </c>
      <c r="BL152" s="11">
        <f>BL$5+SUM(BN$5:BN151)+SUM(R$5:R151)-SUM(S$5:S151)</f>
        <v>310863.5097493035</v>
      </c>
      <c r="BM152" s="11">
        <f t="shared" si="140"/>
        <v>-1015.4874651810582</v>
      </c>
      <c r="BN152" s="11">
        <f t="shared" si="141"/>
        <v>-1114.2061281337044</v>
      </c>
      <c r="BO152" s="11">
        <f t="shared" si="142"/>
        <v>-2129.6935933147624</v>
      </c>
      <c r="BQ152" s="44">
        <f t="shared" si="147"/>
        <v>0.0393</v>
      </c>
      <c r="BR152" s="11">
        <f>BR$5+SUM(BS$5:BS151)+SUM(R$5:R151)-SUM(S$5:S151)+SUM(BV$5:BV151)</f>
        <v>391305.1646404865</v>
      </c>
      <c r="BS152" s="10">
        <f t="shared" si="157"/>
        <v>-855.4741840644617</v>
      </c>
      <c r="BT152" s="10">
        <f t="shared" si="158"/>
        <v>-1281.5244141975934</v>
      </c>
      <c r="BU152" s="10">
        <f>IF(U152&lt;0,PMT(BQ152/12,Podsumowanie!E$8-SUM(AB$5:AB152)+1,BR152),0)</f>
        <v>-2136.998598262055</v>
      </c>
      <c r="BV152" s="10">
        <f t="shared" si="152"/>
        <v>-24.831827841289396</v>
      </c>
      <c r="BX152" s="11">
        <f>BX$5+SUM(BZ$5:BZ151)+SUM(R$5:R151)-SUM(S$5:S151)+SUM(CB$5,CB151)</f>
        <v>310659.79585833364</v>
      </c>
      <c r="BY152" s="10">
        <f t="shared" si="148"/>
        <v>-1017.4108314360427</v>
      </c>
      <c r="BZ152" s="10">
        <f t="shared" si="149"/>
        <v>-1113.4759708184001</v>
      </c>
      <c r="CA152" s="10">
        <f t="shared" si="159"/>
        <v>-2130.886802254443</v>
      </c>
      <c r="CB152" s="10">
        <f t="shared" si="160"/>
        <v>-30.943623848901552</v>
      </c>
      <c r="CD152" s="10">
        <f>CD$5+SUM(CE$5:CE151)+SUM(R$5:R151)-SUM(S$5:S151)-SUM(CF$5:CF151)</f>
        <v>374509.87715889513</v>
      </c>
      <c r="CE152" s="10">
        <f t="shared" si="153"/>
        <v>1017.4108314360427</v>
      </c>
      <c r="CF152" s="10">
        <f t="shared" si="154"/>
        <v>2161.8304261033445</v>
      </c>
      <c r="CG152" s="10">
        <f t="shared" si="155"/>
        <v>1144.4195946673017</v>
      </c>
      <c r="CI152" s="44">
        <v>0.4538</v>
      </c>
      <c r="CJ152" s="10">
        <f t="shared" si="156"/>
        <v>-981.04</v>
      </c>
      <c r="CK152" s="4">
        <f t="shared" si="161"/>
        <v>0</v>
      </c>
      <c r="CM152" s="10">
        <f t="shared" si="162"/>
        <v>-164915.53300101627</v>
      </c>
      <c r="CN152" s="4">
        <f t="shared" si="163"/>
        <v>-373.8085414689702</v>
      </c>
    </row>
    <row r="153" spans="1:92" ht="15.75">
      <c r="A153" s="36"/>
      <c r="B153" s="37">
        <v>41760</v>
      </c>
      <c r="C153" s="77">
        <f t="shared" si="144"/>
        <v>3.4244</v>
      </c>
      <c r="D153" s="78">
        <f>C153*(1+Podsumowanie!E$11)</f>
        <v>3.527132</v>
      </c>
      <c r="E153" s="34">
        <f t="shared" si="117"/>
        <v>-611.6107152030977</v>
      </c>
      <c r="F153" s="7">
        <f t="shared" si="138"/>
        <v>-2157.231725135732</v>
      </c>
      <c r="G153" s="7">
        <f t="shared" si="118"/>
        <v>-1348.9600309019393</v>
      </c>
      <c r="H153" s="7">
        <f t="shared" si="139"/>
        <v>808.2716942337929</v>
      </c>
      <c r="I153" s="32"/>
      <c r="J153" s="4" t="str">
        <f t="shared" si="164"/>
        <v xml:space="preserve"> </v>
      </c>
      <c r="K153" s="4">
        <f>IF(B153&lt;Podsumowanie!E$7,0,K152+1)</f>
        <v>83</v>
      </c>
      <c r="L153" s="100">
        <f t="shared" si="145"/>
        <v>0.0001</v>
      </c>
      <c r="M153" s="38">
        <f>L153+Podsumowanie!E$6</f>
        <v>0.0121</v>
      </c>
      <c r="N153" s="101">
        <f>MAX(Podsumowanie!E$4+SUM(AA$5:AA152)-SUM(X$5:X153)+SUM(W$5:W153),0)</f>
        <v>148672.97245014942</v>
      </c>
      <c r="O153" s="102">
        <f>MAX(Podsumowanie!E$2+SUM(V$5:V152)-SUM(S$5:S153)+SUM(R$5:R153),0)</f>
        <v>327911.02661443525</v>
      </c>
      <c r="P153" s="39">
        <f t="shared" si="133"/>
        <v>360</v>
      </c>
      <c r="Q153" s="40" t="str">
        <f>IF(AND(K153&gt;0,K153&lt;=Podsumowanie!E$9),"tak","nie")</f>
        <v>nie</v>
      </c>
      <c r="R153" s="41"/>
      <c r="S153" s="42"/>
      <c r="T153" s="88">
        <f t="shared" si="119"/>
        <v>-330.64361850288884</v>
      </c>
      <c r="U153" s="89">
        <f>IF(Q153="tak",T153,IF(P153-SUM(AB$5:AB153)+1&gt;0,IF(Podsumowanie!E$7&lt;B153,IF(SUM(AB$5:AB153)-Podsumowanie!E$9+1&gt;0,PMT(M153/12,P153+1-SUM(AB$5:AB153),O153),T153),0),0))</f>
        <v>-1348.9600309019393</v>
      </c>
      <c r="V153" s="89">
        <f t="shared" si="143"/>
        <v>-1018.3164123990505</v>
      </c>
      <c r="W153" s="90" t="str">
        <f>IF(R153&gt;0,R153/(C153*(1-Podsumowanie!E$11))," ")</f>
        <v xml:space="preserve"> </v>
      </c>
      <c r="X153" s="90">
        <f t="shared" si="150"/>
        <v>0</v>
      </c>
      <c r="Y153" s="91">
        <f t="shared" si="168"/>
        <v>-149.911913887234</v>
      </c>
      <c r="Z153" s="90">
        <f>IF(P153-SUM(AB$5:AB153)+1&gt;0,IF(Podsumowanie!E$7&lt;B153,IF(SUM(AB$5:AB153)-Podsumowanie!E$9+1&gt;0,PMT(M153/12,P153+1-SUM(AB$5:AB153),N153),Y153),0),0)</f>
        <v>-611.6107152030977</v>
      </c>
      <c r="AA153" s="90">
        <f t="shared" si="136"/>
        <v>-461.6988013158637</v>
      </c>
      <c r="AB153" s="8">
        <f>IF(AND(Podsumowanie!E$7&lt;B153,SUM(AB$5:AB152)&lt;P152),1," ")</f>
        <v>1</v>
      </c>
      <c r="AD153" s="51">
        <f>IF(OR(B153&lt;Podsumowanie!E$12,Podsumowanie!E$12=""),-F153+S153,0)</f>
        <v>2157.231725135732</v>
      </c>
      <c r="AE153" s="51">
        <f t="shared" si="151"/>
        <v>0</v>
      </c>
      <c r="AG153" s="10">
        <f>Podsumowanie!E$4-SUM(AI$5:AI152)+SUM(W$42:W153)-SUM(X$42:X153)</f>
        <v>140438.64813555224</v>
      </c>
      <c r="AH153" s="10">
        <f t="shared" si="120"/>
        <v>141.61</v>
      </c>
      <c r="AI153" s="10">
        <f t="shared" si="121"/>
        <v>505.17</v>
      </c>
      <c r="AJ153" s="10">
        <f t="shared" si="134"/>
        <v>646.78</v>
      </c>
      <c r="AK153" s="10">
        <f t="shared" si="165"/>
        <v>2281.28</v>
      </c>
      <c r="AL153" s="10">
        <f>Podsumowanie!E$2-SUM(AN$5:AN152)+SUM(R$42:R153)-SUM(S$42:S153)</f>
        <v>309748.9899999999</v>
      </c>
      <c r="AM153" s="10">
        <f t="shared" si="122"/>
        <v>312.33</v>
      </c>
      <c r="AN153" s="10">
        <f t="shared" si="123"/>
        <v>1114.21</v>
      </c>
      <c r="AO153" s="10">
        <f t="shared" si="124"/>
        <v>1426.54</v>
      </c>
      <c r="AP153" s="10">
        <f t="shared" si="125"/>
        <v>854.7400000000002</v>
      </c>
      <c r="AR153" s="43">
        <f t="shared" si="166"/>
        <v>41760</v>
      </c>
      <c r="AS153" s="11">
        <f>AS$5+SUM(AV$5:AV152)-SUM(X$5:X153)+SUM(W$5:W153)</f>
        <v>144212.78327664494</v>
      </c>
      <c r="AT153" s="10">
        <f t="shared" si="126"/>
        <v>-145.414556470617</v>
      </c>
      <c r="AU153" s="10">
        <f>IF(AB153=1,IF(Q153="tak",AT153,PMT(M153/12,P153+1-SUM(AB$5:AB153),AS153)),0)</f>
        <v>-593.2623937470048</v>
      </c>
      <c r="AV153" s="10">
        <f t="shared" si="127"/>
        <v>-447.84783727638785</v>
      </c>
      <c r="AW153" s="10">
        <f t="shared" si="128"/>
        <v>-2031.5677411472432</v>
      </c>
      <c r="AY153" s="11">
        <f>AY$5+SUM(BA$5:BA152)+SUM(W$5:W152)-SUM(X$5:X152)</f>
        <v>136225.34719148563</v>
      </c>
      <c r="AZ153" s="11">
        <f t="shared" si="129"/>
        <v>-145.414556470617</v>
      </c>
      <c r="BA153" s="11">
        <f t="shared" si="130"/>
        <v>-490.02</v>
      </c>
      <c r="BB153" s="11">
        <f t="shared" si="135"/>
        <v>-635.4345564706169</v>
      </c>
      <c r="BC153" s="11">
        <f t="shared" si="167"/>
        <v>-2175.9820951779807</v>
      </c>
      <c r="BE153" s="172">
        <f t="shared" si="146"/>
        <v>0.0272</v>
      </c>
      <c r="BF153" s="44">
        <f>BE153+Podsumowanie!$E$6</f>
        <v>0.0392</v>
      </c>
      <c r="BG153" s="11">
        <f>BG$5+SUM(BH$5:BH152)+SUM(R$5:R152)-SUM(S$5:S152)</f>
        <v>357589.69422534213</v>
      </c>
      <c r="BH153" s="10">
        <f t="shared" si="137"/>
        <v>-787.0885628794201</v>
      </c>
      <c r="BI153" s="10">
        <f t="shared" si="132"/>
        <v>-1168.126334469451</v>
      </c>
      <c r="BJ153" s="10">
        <f>IF(U153&lt;0,PMT(BF153/12,Podsumowanie!E$8-SUM(AB$5:AB153)+1,BG153),0)</f>
        <v>-1955.214897348871</v>
      </c>
      <c r="BL153" s="11">
        <f>BL$5+SUM(BN$5:BN152)+SUM(R$5:R152)-SUM(S$5:S152)</f>
        <v>309749.30362116976</v>
      </c>
      <c r="BM153" s="11">
        <f t="shared" si="140"/>
        <v>-1011.8477251624878</v>
      </c>
      <c r="BN153" s="11">
        <f t="shared" si="141"/>
        <v>-1114.2061281337042</v>
      </c>
      <c r="BO153" s="11">
        <f t="shared" si="142"/>
        <v>-2126.053853296192</v>
      </c>
      <c r="BQ153" s="44">
        <f t="shared" si="147"/>
        <v>0.0393</v>
      </c>
      <c r="BR153" s="11">
        <f>BR$5+SUM(BS$5:BS152)+SUM(R$5:R152)-SUM(S$5:S152)+SUM(BV$5:BV152)</f>
        <v>390424.85862858075</v>
      </c>
      <c r="BS153" s="10">
        <f t="shared" si="157"/>
        <v>-858.2212773704755</v>
      </c>
      <c r="BT153" s="10">
        <f t="shared" si="158"/>
        <v>-1278.641412008602</v>
      </c>
      <c r="BU153" s="10">
        <f>IF(U153&lt;0,PMT(BQ153/12,Podsumowanie!E$8-SUM(AB$5:AB153)+1,BR153),0)</f>
        <v>-2136.8626893790774</v>
      </c>
      <c r="BV153" s="10">
        <f t="shared" si="152"/>
        <v>-20.36903575665474</v>
      </c>
      <c r="BX153" s="11">
        <f>BX$5+SUM(BZ$5:BZ152)+SUM(R$5:R152)-SUM(S$5:S152)+SUM(CB$5,CB152)</f>
        <v>309554.83193097124</v>
      </c>
      <c r="BY153" s="10">
        <f t="shared" si="148"/>
        <v>-1013.7920745739308</v>
      </c>
      <c r="BZ153" s="10">
        <f t="shared" si="149"/>
        <v>-1113.5065896797526</v>
      </c>
      <c r="CA153" s="10">
        <f t="shared" si="159"/>
        <v>-2127.2986642536835</v>
      </c>
      <c r="CB153" s="10">
        <f t="shared" si="160"/>
        <v>-29.93306088204872</v>
      </c>
      <c r="CD153" s="10">
        <f>CD$5+SUM(CE$5:CE152)+SUM(R$5:R152)-SUM(S$5:S152)-SUM(CF$5:CF152)</f>
        <v>373365.45756422787</v>
      </c>
      <c r="CE153" s="10">
        <f t="shared" si="153"/>
        <v>1013.7920745739308</v>
      </c>
      <c r="CF153" s="10">
        <f t="shared" si="154"/>
        <v>2157.231725135732</v>
      </c>
      <c r="CG153" s="10">
        <f t="shared" si="155"/>
        <v>1143.4396505618015</v>
      </c>
      <c r="CI153" s="44">
        <v>0.4538</v>
      </c>
      <c r="CJ153" s="10">
        <f t="shared" si="156"/>
        <v>-978.95</v>
      </c>
      <c r="CK153" s="4">
        <f t="shared" si="161"/>
        <v>0</v>
      </c>
      <c r="CM153" s="10">
        <f t="shared" si="162"/>
        <v>-167072.764726152</v>
      </c>
      <c r="CN153" s="4">
        <f t="shared" si="163"/>
        <v>-378.6982667126112</v>
      </c>
    </row>
    <row r="154" spans="1:92" ht="15.75">
      <c r="A154" s="36"/>
      <c r="B154" s="37">
        <v>41791</v>
      </c>
      <c r="C154" s="77">
        <f t="shared" si="144"/>
        <v>3.3965</v>
      </c>
      <c r="D154" s="78">
        <f>C154*(1+Podsumowanie!E$11)</f>
        <v>3.4983950000000004</v>
      </c>
      <c r="E154" s="34">
        <f t="shared" si="117"/>
        <v>-611.6107152030978</v>
      </c>
      <c r="F154" s="7">
        <f t="shared" si="138"/>
        <v>-2139.6558680129415</v>
      </c>
      <c r="G154" s="7">
        <f t="shared" si="118"/>
        <v>-1348.9600309019397</v>
      </c>
      <c r="H154" s="7">
        <f t="shared" si="139"/>
        <v>790.6958371110018</v>
      </c>
      <c r="I154" s="32"/>
      <c r="J154" s="4" t="str">
        <f t="shared" si="164"/>
        <v xml:space="preserve"> </v>
      </c>
      <c r="K154" s="4">
        <f>IF(B154&lt;Podsumowanie!E$7,0,K153+1)</f>
        <v>84</v>
      </c>
      <c r="L154" s="100">
        <f t="shared" si="145"/>
        <v>0.0001</v>
      </c>
      <c r="M154" s="38">
        <f>L154+Podsumowanie!E$6</f>
        <v>0.0121</v>
      </c>
      <c r="N154" s="101">
        <f>MAX(Podsumowanie!E$4+SUM(AA$5:AA153)-SUM(X$5:X154)+SUM(W$5:W154),0)</f>
        <v>148211.27364883356</v>
      </c>
      <c r="O154" s="102">
        <f>MAX(Podsumowanie!E$2+SUM(V$5:V153)-SUM(S$5:S154)+SUM(R$5:R154),0)</f>
        <v>326892.7102020362</v>
      </c>
      <c r="P154" s="39">
        <f t="shared" si="133"/>
        <v>360</v>
      </c>
      <c r="Q154" s="40" t="str">
        <f>IF(AND(K154&gt;0,K154&lt;=Podsumowanie!E$9),"tak","nie")</f>
        <v>nie</v>
      </c>
      <c r="R154" s="41"/>
      <c r="S154" s="42"/>
      <c r="T154" s="88">
        <f t="shared" si="119"/>
        <v>-329.6168161203865</v>
      </c>
      <c r="U154" s="89">
        <f>IF(Q154="tak",T154,IF(P154-SUM(AB$5:AB154)+1&gt;0,IF(Podsumowanie!E$7&lt;B154,IF(SUM(AB$5:AB154)-Podsumowanie!E$9+1&gt;0,PMT(M154/12,P154+1-SUM(AB$5:AB154),O154),T154),0),0))</f>
        <v>-1348.9600309019397</v>
      </c>
      <c r="V154" s="89">
        <f t="shared" si="143"/>
        <v>-1019.3432147815532</v>
      </c>
      <c r="W154" s="90" t="str">
        <f>IF(R154&gt;0,R154/(C154*(1-Podsumowanie!E$11))," ")</f>
        <v xml:space="preserve"> </v>
      </c>
      <c r="X154" s="90">
        <f t="shared" si="150"/>
        <v>0</v>
      </c>
      <c r="Y154" s="91">
        <f t="shared" si="168"/>
        <v>-149.44636759590716</v>
      </c>
      <c r="Z154" s="90">
        <f>IF(P154-SUM(AB$5:AB154)+1&gt;0,IF(Podsumowanie!E$7&lt;B154,IF(SUM(AB$5:AB154)-Podsumowanie!E$9+1&gt;0,PMT(M154/12,P154+1-SUM(AB$5:AB154),N154),Y154),0),0)</f>
        <v>-611.6107152030978</v>
      </c>
      <c r="AA154" s="90">
        <f t="shared" si="136"/>
        <v>-462.1643476071906</v>
      </c>
      <c r="AB154" s="8">
        <f>IF(AND(Podsumowanie!E$7&lt;B154,SUM(AB$5:AB153)&lt;P153),1," ")</f>
        <v>1</v>
      </c>
      <c r="AD154" s="51">
        <f>IF(OR(B154&lt;Podsumowanie!E$12,Podsumowanie!E$12=""),-F154+S154,0)</f>
        <v>2139.6558680129415</v>
      </c>
      <c r="AE154" s="51">
        <f t="shared" si="151"/>
        <v>0</v>
      </c>
      <c r="AG154" s="10">
        <f>Podsumowanie!E$4-SUM(AI$5:AI153)+SUM(W$42:W154)-SUM(X$42:X154)</f>
        <v>139933.47813555223</v>
      </c>
      <c r="AH154" s="10">
        <f t="shared" si="120"/>
        <v>141.1</v>
      </c>
      <c r="AI154" s="10">
        <f t="shared" si="121"/>
        <v>505.18</v>
      </c>
      <c r="AJ154" s="10">
        <f t="shared" si="134"/>
        <v>646.28</v>
      </c>
      <c r="AK154" s="10">
        <f t="shared" si="165"/>
        <v>2260.94</v>
      </c>
      <c r="AL154" s="10">
        <f>Podsumowanie!E$2-SUM(AN$5:AN153)+SUM(R$42:R154)-SUM(S$42:S154)</f>
        <v>308634.7799999999</v>
      </c>
      <c r="AM154" s="10">
        <f t="shared" si="122"/>
        <v>311.21</v>
      </c>
      <c r="AN154" s="10">
        <f t="shared" si="123"/>
        <v>1114.2</v>
      </c>
      <c r="AO154" s="10">
        <f t="shared" si="124"/>
        <v>1425.41</v>
      </c>
      <c r="AP154" s="10">
        <f t="shared" si="125"/>
        <v>835.53</v>
      </c>
      <c r="AR154" s="43">
        <f t="shared" si="166"/>
        <v>41791</v>
      </c>
      <c r="AS154" s="11">
        <f>AS$5+SUM(AV$5:AV153)-SUM(X$5:X154)+SUM(W$5:W154)</f>
        <v>143764.93543936854</v>
      </c>
      <c r="AT154" s="10">
        <f t="shared" si="126"/>
        <v>-144.96297656802994</v>
      </c>
      <c r="AU154" s="10">
        <f>IF(AB154=1,IF(Q154="tak",AT154,PMT(M154/12,P154+1-SUM(AB$5:AB154),AS154)),0)</f>
        <v>-593.2623937470048</v>
      </c>
      <c r="AV154" s="10">
        <f t="shared" si="127"/>
        <v>-448.29941717897486</v>
      </c>
      <c r="AW154" s="10">
        <f t="shared" si="128"/>
        <v>-2015.0157203617018</v>
      </c>
      <c r="AY154" s="11">
        <f>AY$5+SUM(BA$5:BA153)+SUM(W$5:W153)-SUM(X$5:X153)</f>
        <v>135735.32719148565</v>
      </c>
      <c r="AZ154" s="11">
        <f t="shared" si="129"/>
        <v>-144.96297656802994</v>
      </c>
      <c r="BA154" s="11">
        <f t="shared" si="130"/>
        <v>-490.02</v>
      </c>
      <c r="BB154" s="11">
        <f t="shared" si="135"/>
        <v>-634.9829765680299</v>
      </c>
      <c r="BC154" s="11">
        <f t="shared" si="167"/>
        <v>-2156.7196799133135</v>
      </c>
      <c r="BE154" s="172">
        <f t="shared" si="146"/>
        <v>0.0269</v>
      </c>
      <c r="BF154" s="44">
        <f>BE154+Podsumowanie!$E$6</f>
        <v>0.038900000000000004</v>
      </c>
      <c r="BG154" s="11">
        <f>BG$5+SUM(BH$5:BH153)+SUM(R$5:R153)-SUM(S$5:S153)</f>
        <v>356802.6056624627</v>
      </c>
      <c r="BH154" s="10">
        <f t="shared" si="137"/>
        <v>-792.7974969535405</v>
      </c>
      <c r="BI154" s="10">
        <f t="shared" si="132"/>
        <v>-1156.6351133558167</v>
      </c>
      <c r="BJ154" s="10">
        <f>IF(U154&lt;0,PMT(BF154/12,Podsumowanie!E$8-SUM(AB$5:AB154)+1,BG154),0)</f>
        <v>-1949.4326103093572</v>
      </c>
      <c r="BL154" s="11">
        <f>BL$5+SUM(BN$5:BN153)+SUM(R$5:R153)-SUM(S$5:S153)</f>
        <v>308635.09749303607</v>
      </c>
      <c r="BM154" s="11">
        <f t="shared" si="140"/>
        <v>-1000.492107706592</v>
      </c>
      <c r="BN154" s="11">
        <f t="shared" si="141"/>
        <v>-1114.2061281337042</v>
      </c>
      <c r="BO154" s="11">
        <f t="shared" si="142"/>
        <v>-2114.698235840296</v>
      </c>
      <c r="BQ154" s="44">
        <f t="shared" si="147"/>
        <v>0.039</v>
      </c>
      <c r="BR154" s="11">
        <f>BR$5+SUM(BS$5:BS153)+SUM(R$5:R153)-SUM(S$5:S153)+SUM(BV$5:BV153)</f>
        <v>389546.2683154536</v>
      </c>
      <c r="BS154" s="10">
        <f t="shared" si="157"/>
        <v>-864.409212629357</v>
      </c>
      <c r="BT154" s="10">
        <f t="shared" si="158"/>
        <v>-1266.0253720252242</v>
      </c>
      <c r="BU154" s="10">
        <f>IF(U154&lt;0,PMT(BQ154/12,Podsumowanie!E$8-SUM(AB$5:AB154)+1,BR154),0)</f>
        <v>-2130.434584654581</v>
      </c>
      <c r="BV154" s="10">
        <f t="shared" si="152"/>
        <v>-9.221283358360324</v>
      </c>
      <c r="BX154" s="11">
        <f>BX$5+SUM(BZ$5:BZ153)+SUM(R$5:R153)-SUM(S$5:S153)+SUM(CB$5,CB153)</f>
        <v>308442.33590425836</v>
      </c>
      <c r="BY154" s="10">
        <f t="shared" si="148"/>
        <v>-1002.4375916888397</v>
      </c>
      <c r="BZ154" s="10">
        <f t="shared" si="149"/>
        <v>-1113.5102379215102</v>
      </c>
      <c r="CA154" s="10">
        <f t="shared" si="159"/>
        <v>-2115.94782961035</v>
      </c>
      <c r="CB154" s="10">
        <f t="shared" si="160"/>
        <v>-23.708038402591683</v>
      </c>
      <c r="CD154" s="10">
        <f>CD$5+SUM(CE$5:CE153)+SUM(R$5:R153)-SUM(S$5:S153)-SUM(CF$5:CF153)</f>
        <v>372222.01791366603</v>
      </c>
      <c r="CE154" s="10">
        <f t="shared" si="153"/>
        <v>1002.4375916888397</v>
      </c>
      <c r="CF154" s="10">
        <f t="shared" si="154"/>
        <v>2139.6558680129415</v>
      </c>
      <c r="CG154" s="10">
        <f t="shared" si="155"/>
        <v>1137.2182763241017</v>
      </c>
      <c r="CI154" s="44">
        <v>0.4553</v>
      </c>
      <c r="CJ154" s="10">
        <f t="shared" si="156"/>
        <v>-974.19</v>
      </c>
      <c r="CK154" s="4">
        <f t="shared" si="161"/>
        <v>0</v>
      </c>
      <c r="CM154" s="10">
        <f t="shared" si="162"/>
        <v>-169212.42059416496</v>
      </c>
      <c r="CN154" s="4">
        <f t="shared" si="163"/>
        <v>-379.3178428319198</v>
      </c>
    </row>
    <row r="155" spans="1:92" ht="15.75">
      <c r="A155" s="36"/>
      <c r="B155" s="37">
        <v>41821</v>
      </c>
      <c r="C155" s="77">
        <f t="shared" si="144"/>
        <v>3.4114</v>
      </c>
      <c r="D155" s="78">
        <f>C155*(1+Podsumowanie!E$11)</f>
        <v>3.513742</v>
      </c>
      <c r="E155" s="34">
        <f t="shared" si="117"/>
        <v>-611.6107152030978</v>
      </c>
      <c r="F155" s="7">
        <f t="shared" si="138"/>
        <v>-2149.0422576591636</v>
      </c>
      <c r="G155" s="7">
        <f t="shared" si="118"/>
        <v>-1348.9600309019393</v>
      </c>
      <c r="H155" s="7">
        <f t="shared" si="139"/>
        <v>800.0822267572244</v>
      </c>
      <c r="I155" s="32"/>
      <c r="J155" s="4" t="str">
        <f t="shared" si="164"/>
        <v xml:space="preserve"> </v>
      </c>
      <c r="K155" s="4">
        <f>IF(B155&lt;Podsumowanie!E$7,0,K154+1)</f>
        <v>85</v>
      </c>
      <c r="L155" s="100">
        <f t="shared" si="145"/>
        <v>0.0001</v>
      </c>
      <c r="M155" s="38">
        <f>L155+Podsumowanie!E$6</f>
        <v>0.0121</v>
      </c>
      <c r="N155" s="101">
        <f>MAX(Podsumowanie!E$4+SUM(AA$5:AA154)-SUM(X$5:X155)+SUM(W$5:W155),0)</f>
        <v>147749.1093012264</v>
      </c>
      <c r="O155" s="102">
        <f>MAX(Podsumowanie!E$2+SUM(V$5:V154)-SUM(S$5:S155)+SUM(R$5:R155),0)</f>
        <v>325873.3669872546</v>
      </c>
      <c r="P155" s="39">
        <f t="shared" si="133"/>
        <v>360</v>
      </c>
      <c r="Q155" s="40" t="str">
        <f>IF(AND(K155&gt;0,K155&lt;=Podsumowanie!E$9),"tak","nie")</f>
        <v>nie</v>
      </c>
      <c r="R155" s="41"/>
      <c r="S155" s="42"/>
      <c r="T155" s="88">
        <f t="shared" si="119"/>
        <v>-328.58897837881506</v>
      </c>
      <c r="U155" s="89">
        <f>IF(Q155="tak",T155,IF(P155-SUM(AB$5:AB155)+1&gt;0,IF(Podsumowanie!E$7&lt;B155,IF(SUM(AB$5:AB155)-Podsumowanie!E$9+1&gt;0,PMT(M155/12,P155+1-SUM(AB$5:AB155),O155),T155),0),0))</f>
        <v>-1348.9600309019393</v>
      </c>
      <c r="V155" s="89">
        <f t="shared" si="143"/>
        <v>-1020.3710525231243</v>
      </c>
      <c r="W155" s="90" t="str">
        <f>IF(R155&gt;0,R155/(C155*(1-Podsumowanie!E$11))," ")</f>
        <v xml:space="preserve"> </v>
      </c>
      <c r="X155" s="90">
        <f t="shared" si="150"/>
        <v>0</v>
      </c>
      <c r="Y155" s="91">
        <f t="shared" si="168"/>
        <v>-148.9803518787366</v>
      </c>
      <c r="Z155" s="90">
        <f>IF(P155-SUM(AB$5:AB155)+1&gt;0,IF(Podsumowanie!E$7&lt;B155,IF(SUM(AB$5:AB155)-Podsumowanie!E$9+1&gt;0,PMT(M155/12,P155+1-SUM(AB$5:AB155),N155),Y155),0),0)</f>
        <v>-611.6107152030978</v>
      </c>
      <c r="AA155" s="90">
        <f t="shared" si="136"/>
        <v>-462.6303633243612</v>
      </c>
      <c r="AB155" s="8">
        <f>IF(AND(Podsumowanie!E$7&lt;B155,SUM(AB$5:AB154)&lt;P154),1," ")</f>
        <v>1</v>
      </c>
      <c r="AD155" s="51">
        <f>IF(OR(B155&lt;Podsumowanie!E$12,Podsumowanie!E$12=""),-F155+S155,0)</f>
        <v>2149.0422576591636</v>
      </c>
      <c r="AE155" s="51">
        <f t="shared" si="151"/>
        <v>0</v>
      </c>
      <c r="AG155" s="10">
        <f>Podsumowanie!E$4-SUM(AI$5:AI154)+SUM(W$42:W155)-SUM(X$42:X155)</f>
        <v>139428.29813555224</v>
      </c>
      <c r="AH155" s="10">
        <f t="shared" si="120"/>
        <v>140.59</v>
      </c>
      <c r="AI155" s="10">
        <f t="shared" si="121"/>
        <v>505.17</v>
      </c>
      <c r="AJ155" s="10">
        <f t="shared" si="134"/>
        <v>645.76</v>
      </c>
      <c r="AK155" s="10">
        <f t="shared" si="165"/>
        <v>2269.03</v>
      </c>
      <c r="AL155" s="10">
        <f>Podsumowanie!E$2-SUM(AN$5:AN154)+SUM(R$42:R155)-SUM(S$42:S155)</f>
        <v>307520.5799999999</v>
      </c>
      <c r="AM155" s="10">
        <f t="shared" si="122"/>
        <v>310.08</v>
      </c>
      <c r="AN155" s="10">
        <f t="shared" si="123"/>
        <v>1114.21</v>
      </c>
      <c r="AO155" s="10">
        <f t="shared" si="124"/>
        <v>1424.29</v>
      </c>
      <c r="AP155" s="10">
        <f t="shared" si="125"/>
        <v>844.7400000000002</v>
      </c>
      <c r="AR155" s="43">
        <f t="shared" si="166"/>
        <v>41821</v>
      </c>
      <c r="AS155" s="11">
        <f>AS$5+SUM(AV$5:AV154)-SUM(X$5:X155)+SUM(W$5:W155)</f>
        <v>143316.63602218957</v>
      </c>
      <c r="AT155" s="10">
        <f t="shared" si="126"/>
        <v>-144.51094132237446</v>
      </c>
      <c r="AU155" s="10">
        <f>IF(AB155=1,IF(Q155="tak",AT155,PMT(M155/12,P155+1-SUM(AB$5:AB155),AS155)),0)</f>
        <v>-593.2623937470048</v>
      </c>
      <c r="AV155" s="10">
        <f t="shared" si="127"/>
        <v>-448.7514524246303</v>
      </c>
      <c r="AW155" s="10">
        <f t="shared" si="128"/>
        <v>-2023.855330028532</v>
      </c>
      <c r="AY155" s="11">
        <f>AY$5+SUM(BA$5:BA154)+SUM(W$5:W154)-SUM(X$5:X154)</f>
        <v>135245.30719148566</v>
      </c>
      <c r="AZ155" s="11">
        <f t="shared" si="129"/>
        <v>-144.51094132237446</v>
      </c>
      <c r="BA155" s="11">
        <f t="shared" si="130"/>
        <v>-490.02</v>
      </c>
      <c r="BB155" s="11">
        <f t="shared" si="135"/>
        <v>-634.5309413223745</v>
      </c>
      <c r="BC155" s="11">
        <f t="shared" si="167"/>
        <v>-2164.638853227148</v>
      </c>
      <c r="BE155" s="172">
        <f t="shared" si="146"/>
        <v>0.0268</v>
      </c>
      <c r="BF155" s="44">
        <f>BE155+Podsumowanie!$E$6</f>
        <v>0.0388</v>
      </c>
      <c r="BG155" s="11">
        <f>BG$5+SUM(BH$5:BH154)+SUM(R$5:R154)-SUM(S$5:S154)</f>
        <v>356009.8081655092</v>
      </c>
      <c r="BH155" s="10">
        <f t="shared" si="137"/>
        <v>-796.4146426848238</v>
      </c>
      <c r="BI155" s="10">
        <f t="shared" si="132"/>
        <v>-1151.0983797351464</v>
      </c>
      <c r="BJ155" s="10">
        <f>IF(U155&lt;0,PMT(BF155/12,Podsumowanie!E$8-SUM(AB$5:AB155)+1,BG155),0)</f>
        <v>-1947.5130224199702</v>
      </c>
      <c r="BL155" s="11">
        <f>BL$5+SUM(BN$5:BN154)+SUM(R$5:R154)-SUM(S$5:S154)</f>
        <v>307520.8913649024</v>
      </c>
      <c r="BM155" s="11">
        <f t="shared" si="140"/>
        <v>-994.3175487465177</v>
      </c>
      <c r="BN155" s="11">
        <f t="shared" si="141"/>
        <v>-1114.2061281337042</v>
      </c>
      <c r="BO155" s="11">
        <f t="shared" si="142"/>
        <v>-2108.523676880222</v>
      </c>
      <c r="BQ155" s="44">
        <f t="shared" si="147"/>
        <v>0.038900000000000004</v>
      </c>
      <c r="BR155" s="11">
        <f>BR$5+SUM(BS$5:BS154)+SUM(R$5:R154)-SUM(S$5:S154)+SUM(BV$5:BV154)</f>
        <v>388672.6378194659</v>
      </c>
      <c r="BS155" s="10">
        <f t="shared" si="157"/>
        <v>-868.3400576093766</v>
      </c>
      <c r="BT155" s="10">
        <f t="shared" si="158"/>
        <v>-1259.9471342647687</v>
      </c>
      <c r="BU155" s="10">
        <f>IF(U155&lt;0,PMT(BQ155/12,Podsumowanie!E$8-SUM(AB$5:AB155)+1,BR155),0)</f>
        <v>-2128.2871918741453</v>
      </c>
      <c r="BV155" s="10">
        <f t="shared" si="152"/>
        <v>-20.75506578501836</v>
      </c>
      <c r="BX155" s="11">
        <f>BX$5+SUM(BZ$5:BZ154)+SUM(R$5:R154)-SUM(S$5:S154)+SUM(CB$5,CB154)</f>
        <v>307335.05068881623</v>
      </c>
      <c r="BY155" s="10">
        <f t="shared" si="148"/>
        <v>-996.2777893162461</v>
      </c>
      <c r="BZ155" s="10">
        <f t="shared" si="149"/>
        <v>-1113.5327923507834</v>
      </c>
      <c r="CA155" s="10">
        <f t="shared" si="159"/>
        <v>-2109.8105816670295</v>
      </c>
      <c r="CB155" s="10">
        <f t="shared" si="160"/>
        <v>-39.231675992134114</v>
      </c>
      <c r="CD155" s="10">
        <f>CD$5+SUM(CE$5:CE154)+SUM(R$5:R154)-SUM(S$5:S154)-SUM(CF$5:CF154)</f>
        <v>371084.7996373419</v>
      </c>
      <c r="CE155" s="10">
        <f t="shared" si="153"/>
        <v>996.2777893162461</v>
      </c>
      <c r="CF155" s="10">
        <f t="shared" si="154"/>
        <v>2149.0422576591636</v>
      </c>
      <c r="CG155" s="10">
        <f t="shared" si="155"/>
        <v>1152.7644683429176</v>
      </c>
      <c r="CI155" s="44">
        <v>0.4553</v>
      </c>
      <c r="CJ155" s="10">
        <f t="shared" si="156"/>
        <v>-978.46</v>
      </c>
      <c r="CK155" s="4">
        <f t="shared" si="161"/>
        <v>0</v>
      </c>
      <c r="CM155" s="10">
        <f t="shared" si="162"/>
        <v>-171361.46285182412</v>
      </c>
      <c r="CN155" s="4">
        <f t="shared" si="163"/>
        <v>-382.7072670357406</v>
      </c>
    </row>
    <row r="156" spans="1:92" ht="15.75">
      <c r="A156" s="36"/>
      <c r="B156" s="37">
        <v>41852</v>
      </c>
      <c r="C156" s="77">
        <f t="shared" si="144"/>
        <v>3.4602</v>
      </c>
      <c r="D156" s="78">
        <f>C156*(1+Podsumowanie!E$11)</f>
        <v>3.564006</v>
      </c>
      <c r="E156" s="34">
        <f t="shared" si="117"/>
        <v>-611.6107152030977</v>
      </c>
      <c r="F156" s="7">
        <f t="shared" si="138"/>
        <v>-2179.7842586481315</v>
      </c>
      <c r="G156" s="7">
        <f t="shared" si="118"/>
        <v>-1348.960030901939</v>
      </c>
      <c r="H156" s="7">
        <f t="shared" si="139"/>
        <v>830.8242277461925</v>
      </c>
      <c r="I156" s="32"/>
      <c r="J156" s="4" t="str">
        <f t="shared" si="164"/>
        <v xml:space="preserve"> </v>
      </c>
      <c r="K156" s="4">
        <f>IF(B156&lt;Podsumowanie!E$7,0,K155+1)</f>
        <v>86</v>
      </c>
      <c r="L156" s="100">
        <f t="shared" si="145"/>
        <v>0.0001</v>
      </c>
      <c r="M156" s="38">
        <f>L156+Podsumowanie!E$6</f>
        <v>0.0121</v>
      </c>
      <c r="N156" s="101">
        <f>MAX(Podsumowanie!E$4+SUM(AA$5:AA155)-SUM(X$5:X156)+SUM(W$5:W156),0)</f>
        <v>147286.47893790202</v>
      </c>
      <c r="O156" s="102">
        <f>MAX(Podsumowanie!E$2+SUM(V$5:V155)-SUM(S$5:S156)+SUM(R$5:R156),0)</f>
        <v>324852.9959347315</v>
      </c>
      <c r="P156" s="39">
        <f t="shared" si="133"/>
        <v>360</v>
      </c>
      <c r="Q156" s="40" t="str">
        <f>IF(AND(K156&gt;0,K156&lt;=Podsumowanie!E$9),"tak","nie")</f>
        <v>nie</v>
      </c>
      <c r="R156" s="41"/>
      <c r="S156" s="42"/>
      <c r="T156" s="88">
        <f t="shared" si="119"/>
        <v>-327.5601042341876</v>
      </c>
      <c r="U156" s="89">
        <f>IF(Q156="tak",T156,IF(P156-SUM(AB$5:AB156)+1&gt;0,IF(Podsumowanie!E$7&lt;B156,IF(SUM(AB$5:AB156)-Podsumowanie!E$9+1&gt;0,PMT(M156/12,P156+1-SUM(AB$5:AB156),O156),T156),0),0))</f>
        <v>-1348.960030901939</v>
      </c>
      <c r="V156" s="89">
        <f t="shared" si="143"/>
        <v>-1021.3999266677515</v>
      </c>
      <c r="W156" s="90" t="str">
        <f>IF(R156&gt;0,R156/(C156*(1-Podsumowanie!E$11))," ")</f>
        <v xml:space="preserve"> </v>
      </c>
      <c r="X156" s="90">
        <f t="shared" si="150"/>
        <v>0</v>
      </c>
      <c r="Y156" s="91">
        <f t="shared" si="168"/>
        <v>-148.51386626238454</v>
      </c>
      <c r="Z156" s="90">
        <f>IF(P156-SUM(AB$5:AB156)+1&gt;0,IF(Podsumowanie!E$7&lt;B156,IF(SUM(AB$5:AB156)-Podsumowanie!E$9+1&gt;0,PMT(M156/12,P156+1-SUM(AB$5:AB156),N156),Y156),0),0)</f>
        <v>-611.6107152030977</v>
      </c>
      <c r="AA156" s="90">
        <f t="shared" si="136"/>
        <v>-463.09684894071313</v>
      </c>
      <c r="AB156" s="8">
        <f>IF(AND(Podsumowanie!E$7&lt;B156,SUM(AB$5:AB155)&lt;P155),1," ")</f>
        <v>1</v>
      </c>
      <c r="AD156" s="51">
        <f>IF(OR(B156&lt;Podsumowanie!E$12,Podsumowanie!E$12=""),-F156+S156,0)</f>
        <v>2179.7842586481315</v>
      </c>
      <c r="AE156" s="51">
        <f t="shared" si="151"/>
        <v>0</v>
      </c>
      <c r="AG156" s="10">
        <f>Podsumowanie!E$4-SUM(AI$5:AI155)+SUM(W$42:W156)-SUM(X$42:X156)</f>
        <v>138923.12813555222</v>
      </c>
      <c r="AH156" s="10">
        <f t="shared" si="120"/>
        <v>140.08</v>
      </c>
      <c r="AI156" s="10">
        <f t="shared" si="121"/>
        <v>505.18</v>
      </c>
      <c r="AJ156" s="10">
        <f t="shared" si="134"/>
        <v>645.26</v>
      </c>
      <c r="AK156" s="10">
        <f t="shared" si="165"/>
        <v>2299.71</v>
      </c>
      <c r="AL156" s="10">
        <f>Podsumowanie!E$2-SUM(AN$5:AN155)+SUM(R$42:R156)-SUM(S$42:S156)</f>
        <v>306406.3699999999</v>
      </c>
      <c r="AM156" s="10">
        <f t="shared" si="122"/>
        <v>308.96</v>
      </c>
      <c r="AN156" s="10">
        <f t="shared" si="123"/>
        <v>1114.2</v>
      </c>
      <c r="AO156" s="10">
        <f t="shared" si="124"/>
        <v>1423.16</v>
      </c>
      <c r="AP156" s="10">
        <f t="shared" si="125"/>
        <v>876.55</v>
      </c>
      <c r="AR156" s="43">
        <f t="shared" si="166"/>
        <v>41852</v>
      </c>
      <c r="AS156" s="11">
        <f>AS$5+SUM(AV$5:AV155)-SUM(X$5:X156)+SUM(W$5:W156)</f>
        <v>142867.88456976495</v>
      </c>
      <c r="AT156" s="10">
        <f t="shared" si="126"/>
        <v>-144.05845027451298</v>
      </c>
      <c r="AU156" s="10">
        <f>IF(AB156=1,IF(Q156="tak",AT156,PMT(M156/12,P156+1-SUM(AB$5:AB156),AS156)),0)</f>
        <v>-593.2623937470047</v>
      </c>
      <c r="AV156" s="10">
        <f t="shared" si="127"/>
        <v>-449.2039434724917</v>
      </c>
      <c r="AW156" s="10">
        <f t="shared" si="128"/>
        <v>-2052.8065348433856</v>
      </c>
      <c r="AY156" s="11">
        <f>AY$5+SUM(BA$5:BA155)+SUM(W$5:W155)-SUM(X$5:X155)</f>
        <v>134755.28719148567</v>
      </c>
      <c r="AZ156" s="11">
        <f t="shared" si="129"/>
        <v>-144.05845027451298</v>
      </c>
      <c r="BA156" s="11">
        <f t="shared" si="130"/>
        <v>-490.02</v>
      </c>
      <c r="BB156" s="11">
        <f t="shared" si="135"/>
        <v>-634.078450274513</v>
      </c>
      <c r="BC156" s="11">
        <f t="shared" si="167"/>
        <v>-2194.0382536398697</v>
      </c>
      <c r="BE156" s="172">
        <f t="shared" si="146"/>
        <v>0.0265</v>
      </c>
      <c r="BF156" s="44">
        <f>BE156+Podsumowanie!$E$6</f>
        <v>0.0385</v>
      </c>
      <c r="BG156" s="11">
        <f>BG$5+SUM(BH$5:BH155)+SUM(R$5:R155)-SUM(S$5:S155)</f>
        <v>355213.39352282434</v>
      </c>
      <c r="BH156" s="10">
        <f t="shared" si="137"/>
        <v>-802.1347921395263</v>
      </c>
      <c r="BI156" s="10">
        <f t="shared" si="132"/>
        <v>-1139.6429708857281</v>
      </c>
      <c r="BJ156" s="10">
        <f>IF(U156&lt;0,PMT(BF156/12,Podsumowanie!E$8-SUM(AB$5:AB156)+1,BG156),0)</f>
        <v>-1941.7777630252544</v>
      </c>
      <c r="BL156" s="11">
        <f>BL$5+SUM(BN$5:BN155)+SUM(R$5:R155)-SUM(S$5:S155)</f>
        <v>306406.6852367687</v>
      </c>
      <c r="BM156" s="11">
        <f t="shared" si="140"/>
        <v>-983.0547818012996</v>
      </c>
      <c r="BN156" s="11">
        <f t="shared" si="141"/>
        <v>-1114.2061281337044</v>
      </c>
      <c r="BO156" s="11">
        <f t="shared" si="142"/>
        <v>-2097.260909935004</v>
      </c>
      <c r="BQ156" s="44">
        <f t="shared" si="147"/>
        <v>0.038599999999999995</v>
      </c>
      <c r="BR156" s="11">
        <f>BR$5+SUM(BS$5:BS155)+SUM(R$5:R155)-SUM(S$5:S155)+SUM(BV$5:BV155)</f>
        <v>387783.5426960715</v>
      </c>
      <c r="BS156" s="10">
        <f t="shared" si="157"/>
        <v>-874.5383364513061</v>
      </c>
      <c r="BT156" s="10">
        <f t="shared" si="158"/>
        <v>-1247.3703956723632</v>
      </c>
      <c r="BU156" s="10">
        <f>IF(U156&lt;0,PMT(BQ156/12,Podsumowanie!E$8-SUM(AB$5:AB156)+1,BR156),0)</f>
        <v>-2121.9087321236693</v>
      </c>
      <c r="BV156" s="10">
        <f t="shared" si="152"/>
        <v>-57.8755265244622</v>
      </c>
      <c r="BX156" s="11">
        <f>BX$5+SUM(BZ$5:BZ155)+SUM(R$5:R155)-SUM(S$5:S155)+SUM(CB$5,CB155)</f>
        <v>306205.99425887596</v>
      </c>
      <c r="BY156" s="10">
        <f t="shared" si="148"/>
        <v>-984.9626148660509</v>
      </c>
      <c r="BZ156" s="10">
        <f t="shared" si="149"/>
        <v>-1113.476342759549</v>
      </c>
      <c r="CA156" s="10">
        <f t="shared" si="159"/>
        <v>-2098.4389576256</v>
      </c>
      <c r="CB156" s="10">
        <f t="shared" si="160"/>
        <v>-81.34530102253166</v>
      </c>
      <c r="CD156" s="10">
        <f>CD$5+SUM(CE$5:CE155)+SUM(R$5:R155)-SUM(S$5:S155)-SUM(CF$5:CF155)</f>
        <v>369932.035168999</v>
      </c>
      <c r="CE156" s="10">
        <f t="shared" si="153"/>
        <v>984.9626148660509</v>
      </c>
      <c r="CF156" s="10">
        <f t="shared" si="154"/>
        <v>2179.7842586481315</v>
      </c>
      <c r="CG156" s="10">
        <f t="shared" si="155"/>
        <v>1194.8216437820806</v>
      </c>
      <c r="CI156" s="44">
        <v>0.4582</v>
      </c>
      <c r="CJ156" s="10">
        <f t="shared" si="156"/>
        <v>-998.78</v>
      </c>
      <c r="CK156" s="4">
        <f t="shared" si="161"/>
        <v>0</v>
      </c>
      <c r="CM156" s="10">
        <f t="shared" si="162"/>
        <v>-173541.24711047226</v>
      </c>
      <c r="CN156" s="4">
        <f t="shared" si="163"/>
        <v>-383.23692070229293</v>
      </c>
    </row>
    <row r="157" spans="1:92" ht="15.75">
      <c r="A157" s="36"/>
      <c r="B157" s="37">
        <v>41883</v>
      </c>
      <c r="C157" s="77">
        <f t="shared" si="144"/>
        <v>3.4695</v>
      </c>
      <c r="D157" s="78">
        <f>C157*(1+Podsumowanie!E$11)</f>
        <v>3.573585</v>
      </c>
      <c r="E157" s="34">
        <f t="shared" si="117"/>
        <v>-611.6107152030977</v>
      </c>
      <c r="F157" s="7">
        <f t="shared" si="138"/>
        <v>-2185.642877689062</v>
      </c>
      <c r="G157" s="7">
        <f t="shared" si="118"/>
        <v>-1348.9600309019393</v>
      </c>
      <c r="H157" s="7">
        <f t="shared" si="139"/>
        <v>836.6828467871228</v>
      </c>
      <c r="I157" s="32"/>
      <c r="J157" s="4" t="str">
        <f t="shared" si="164"/>
        <v xml:space="preserve"> </v>
      </c>
      <c r="K157" s="4">
        <f>IF(B157&lt;Podsumowanie!E$7,0,K156+1)</f>
        <v>87</v>
      </c>
      <c r="L157" s="100">
        <f t="shared" si="145"/>
        <v>0.0001</v>
      </c>
      <c r="M157" s="38">
        <f>L157+Podsumowanie!E$6</f>
        <v>0.0121</v>
      </c>
      <c r="N157" s="101">
        <f>MAX(Podsumowanie!E$4+SUM(AA$5:AA156)-SUM(X$5:X157)+SUM(W$5:W157),0)</f>
        <v>146823.3820889613</v>
      </c>
      <c r="O157" s="102">
        <f>MAX(Podsumowanie!E$2+SUM(V$5:V156)-SUM(S$5:S157)+SUM(R$5:R157),0)</f>
        <v>323831.59600806376</v>
      </c>
      <c r="P157" s="39">
        <f t="shared" si="133"/>
        <v>360</v>
      </c>
      <c r="Q157" s="40" t="str">
        <f>IF(AND(K157&gt;0,K157&lt;=Podsumowanie!E$9),"tak","nie")</f>
        <v>nie</v>
      </c>
      <c r="R157" s="41"/>
      <c r="S157" s="42"/>
      <c r="T157" s="88">
        <f t="shared" si="119"/>
        <v>-326.5301926414643</v>
      </c>
      <c r="U157" s="89">
        <f>IF(Q157="tak",T157,IF(P157-SUM(AB$5:AB157)+1&gt;0,IF(Podsumowanie!E$7&lt;B157,IF(SUM(AB$5:AB157)-Podsumowanie!E$9+1&gt;0,PMT(M157/12,P157+1-SUM(AB$5:AB157),O157),T157),0),0))</f>
        <v>-1348.9600309019393</v>
      </c>
      <c r="V157" s="89">
        <f t="shared" si="143"/>
        <v>-1022.429838260475</v>
      </c>
      <c r="W157" s="90" t="str">
        <f>IF(R157&gt;0,R157/(C157*(1-Podsumowanie!E$11))," ")</f>
        <v xml:space="preserve"> </v>
      </c>
      <c r="X157" s="90">
        <f t="shared" si="150"/>
        <v>0</v>
      </c>
      <c r="Y157" s="91">
        <f t="shared" si="168"/>
        <v>-148.046910273036</v>
      </c>
      <c r="Z157" s="90">
        <f>IF(P157-SUM(AB$5:AB157)+1&gt;0,IF(Podsumowanie!E$7&lt;B157,IF(SUM(AB$5:AB157)-Podsumowanie!E$9+1&gt;0,PMT(M157/12,P157+1-SUM(AB$5:AB157),N157),Y157),0),0)</f>
        <v>-611.6107152030977</v>
      </c>
      <c r="AA157" s="90">
        <f t="shared" si="136"/>
        <v>-463.5638049300617</v>
      </c>
      <c r="AB157" s="8">
        <f>IF(AND(Podsumowanie!E$7&lt;B157,SUM(AB$5:AB156)&lt;P156),1," ")</f>
        <v>1</v>
      </c>
      <c r="AD157" s="51">
        <f>IF(OR(B157&lt;Podsumowanie!E$12,Podsumowanie!E$12=""),-F157+S157,0)</f>
        <v>2185.642877689062</v>
      </c>
      <c r="AE157" s="51">
        <f t="shared" si="151"/>
        <v>0</v>
      </c>
      <c r="AG157" s="10">
        <f>Podsumowanie!E$4-SUM(AI$5:AI156)+SUM(W$42:W157)-SUM(X$42:X157)</f>
        <v>138417.94813555223</v>
      </c>
      <c r="AH157" s="10">
        <f t="shared" si="120"/>
        <v>139.57</v>
      </c>
      <c r="AI157" s="10">
        <f t="shared" si="121"/>
        <v>505.17</v>
      </c>
      <c r="AJ157" s="10">
        <f t="shared" si="134"/>
        <v>644.74</v>
      </c>
      <c r="AK157" s="10">
        <f t="shared" si="165"/>
        <v>2304.03</v>
      </c>
      <c r="AL157" s="10">
        <f>Podsumowanie!E$2-SUM(AN$5:AN156)+SUM(R$42:R157)-SUM(S$42:S157)</f>
        <v>305292.1699999999</v>
      </c>
      <c r="AM157" s="10">
        <f t="shared" si="122"/>
        <v>307.84</v>
      </c>
      <c r="AN157" s="10">
        <f t="shared" si="123"/>
        <v>1114.21</v>
      </c>
      <c r="AO157" s="10">
        <f t="shared" si="124"/>
        <v>1422.05</v>
      </c>
      <c r="AP157" s="10">
        <f t="shared" si="125"/>
        <v>881.9800000000002</v>
      </c>
      <c r="AR157" s="43">
        <f t="shared" si="166"/>
        <v>41883</v>
      </c>
      <c r="AS157" s="11">
        <f>AS$5+SUM(AV$5:AV156)-SUM(X$5:X157)+SUM(W$5:W157)</f>
        <v>142418.68062629245</v>
      </c>
      <c r="AT157" s="10">
        <f t="shared" si="126"/>
        <v>-143.60550296484487</v>
      </c>
      <c r="AU157" s="10">
        <f>IF(AB157=1,IF(Q157="tak",AT157,PMT(M157/12,P157+1-SUM(AB$5:AB157),AS157)),0)</f>
        <v>-593.2623937470047</v>
      </c>
      <c r="AV157" s="10">
        <f t="shared" si="127"/>
        <v>-449.65689078215985</v>
      </c>
      <c r="AW157" s="10">
        <f t="shared" si="128"/>
        <v>-2058.3238751052327</v>
      </c>
      <c r="AY157" s="11">
        <f>AY$5+SUM(BA$5:BA156)+SUM(W$5:W156)-SUM(X$5:X156)</f>
        <v>134265.26719148568</v>
      </c>
      <c r="AZ157" s="11">
        <f t="shared" si="129"/>
        <v>-143.60550296484487</v>
      </c>
      <c r="BA157" s="11">
        <f t="shared" si="130"/>
        <v>-490.02</v>
      </c>
      <c r="BB157" s="11">
        <f t="shared" si="135"/>
        <v>-633.6255029648448</v>
      </c>
      <c r="BC157" s="11">
        <f t="shared" si="167"/>
        <v>-2198.3636825365293</v>
      </c>
      <c r="BE157" s="172">
        <f t="shared" si="146"/>
        <v>0.0245</v>
      </c>
      <c r="BF157" s="44">
        <f>BE157+Podsumowanie!$E$6</f>
        <v>0.036500000000000005</v>
      </c>
      <c r="BG157" s="11">
        <f>BG$5+SUM(BH$5:BH156)+SUM(R$5:R156)-SUM(S$5:S156)</f>
        <v>354411.2587306848</v>
      </c>
      <c r="BH157" s="10">
        <f t="shared" si="137"/>
        <v>-825.8966127753151</v>
      </c>
      <c r="BI157" s="10">
        <f t="shared" si="132"/>
        <v>-1078.0009119724998</v>
      </c>
      <c r="BJ157" s="10">
        <f>IF(U157&lt;0,PMT(BF157/12,Podsumowanie!E$8-SUM(AB$5:AB157)+1,BG157),0)</f>
        <v>-1903.897524747815</v>
      </c>
      <c r="BL157" s="11">
        <f>BL$5+SUM(BN$5:BN156)+SUM(R$5:R156)-SUM(S$5:S156)</f>
        <v>305292.479108635</v>
      </c>
      <c r="BM157" s="11">
        <f t="shared" si="140"/>
        <v>-928.5979572887649</v>
      </c>
      <c r="BN157" s="11">
        <f t="shared" si="141"/>
        <v>-1114.2061281337044</v>
      </c>
      <c r="BO157" s="11">
        <f t="shared" si="142"/>
        <v>-2042.8040854224691</v>
      </c>
      <c r="BQ157" s="44">
        <f t="shared" si="147"/>
        <v>0.0366</v>
      </c>
      <c r="BR157" s="11">
        <f>BR$5+SUM(BS$5:BS156)+SUM(R$5:R156)-SUM(S$5:S156)+SUM(BV$5:BV156)</f>
        <v>386851.1288330957</v>
      </c>
      <c r="BS157" s="10">
        <f t="shared" si="157"/>
        <v>-900.3251257672841</v>
      </c>
      <c r="BT157" s="10">
        <f t="shared" si="158"/>
        <v>-1179.895942940942</v>
      </c>
      <c r="BU157" s="10">
        <f>IF(U157&lt;0,PMT(BQ157/12,Podsumowanie!E$8-SUM(AB$5:AB157)+1,BR157),0)</f>
        <v>-2080.221068708226</v>
      </c>
      <c r="BV157" s="10">
        <f t="shared" si="152"/>
        <v>-105.42180898083598</v>
      </c>
      <c r="BX157" s="11">
        <f>BX$5+SUM(BZ$5:BZ156)+SUM(R$5:R156)-SUM(S$5:S156)+SUM(CB$5,CB156)</f>
        <v>305050.404291086</v>
      </c>
      <c r="BY157" s="10">
        <f t="shared" si="148"/>
        <v>-930.4037330878124</v>
      </c>
      <c r="BZ157" s="10">
        <f t="shared" si="149"/>
        <v>-1113.3226433981242</v>
      </c>
      <c r="CA157" s="10">
        <f t="shared" si="159"/>
        <v>-2043.7263764859367</v>
      </c>
      <c r="CB157" s="10">
        <f t="shared" si="160"/>
        <v>-141.91650120312534</v>
      </c>
      <c r="CD157" s="10">
        <f>CD$5+SUM(CE$5:CE156)+SUM(R$5:R156)-SUM(S$5:S156)-SUM(CF$5:CF156)</f>
        <v>368737.2135252169</v>
      </c>
      <c r="CE157" s="10">
        <f t="shared" si="153"/>
        <v>930.4037330878124</v>
      </c>
      <c r="CF157" s="10">
        <f t="shared" si="154"/>
        <v>2185.642877689062</v>
      </c>
      <c r="CG157" s="10">
        <f t="shared" si="155"/>
        <v>1255.2391446012498</v>
      </c>
      <c r="CI157" s="44">
        <v>0.464</v>
      </c>
      <c r="CJ157" s="10">
        <f t="shared" si="156"/>
        <v>-1014.14</v>
      </c>
      <c r="CK157" s="4">
        <f t="shared" si="161"/>
        <v>0</v>
      </c>
      <c r="CM157" s="10">
        <f t="shared" si="162"/>
        <v>-175726.88998816133</v>
      </c>
      <c r="CN157" s="4">
        <f t="shared" si="163"/>
        <v>-358.7757337258294</v>
      </c>
    </row>
    <row r="158" spans="1:92" ht="15.75">
      <c r="A158" s="36"/>
      <c r="B158" s="37">
        <v>41913</v>
      </c>
      <c r="C158" s="77">
        <f t="shared" si="144"/>
        <v>3.4814</v>
      </c>
      <c r="D158" s="78">
        <f>C158*(1+Podsumowanie!E$11)</f>
        <v>3.585842</v>
      </c>
      <c r="E158" s="34">
        <f t="shared" si="117"/>
        <v>-611.6107152030977</v>
      </c>
      <c r="F158" s="7">
        <f t="shared" si="138"/>
        <v>-2193.139390225306</v>
      </c>
      <c r="G158" s="7">
        <f t="shared" si="118"/>
        <v>-1348.960030901939</v>
      </c>
      <c r="H158" s="7">
        <f t="shared" si="139"/>
        <v>844.1793593233672</v>
      </c>
      <c r="I158" s="32"/>
      <c r="J158" s="4" t="str">
        <f t="shared" si="164"/>
        <v xml:space="preserve"> </v>
      </c>
      <c r="K158" s="4">
        <f>IF(B158&lt;Podsumowanie!E$7,0,K157+1)</f>
        <v>88</v>
      </c>
      <c r="L158" s="100">
        <f t="shared" si="145"/>
        <v>0.0001</v>
      </c>
      <c r="M158" s="38">
        <f>L158+Podsumowanie!E$6</f>
        <v>0.0121</v>
      </c>
      <c r="N158" s="101">
        <f>MAX(Podsumowanie!E$4+SUM(AA$5:AA157)-SUM(X$5:X158)+SUM(W$5:W158),0)</f>
        <v>146359.81828403124</v>
      </c>
      <c r="O158" s="102">
        <f>MAX(Podsumowanie!E$2+SUM(V$5:V157)-SUM(S$5:S158)+SUM(R$5:R158),0)</f>
        <v>322809.16616980324</v>
      </c>
      <c r="P158" s="39">
        <f t="shared" si="133"/>
        <v>360</v>
      </c>
      <c r="Q158" s="40" t="str">
        <f>IF(AND(K158&gt;0,K158&lt;=Podsumowanie!E$9),"tak","nie")</f>
        <v>nie</v>
      </c>
      <c r="R158" s="41"/>
      <c r="S158" s="42"/>
      <c r="T158" s="88">
        <f t="shared" si="119"/>
        <v>-325.4992425545516</v>
      </c>
      <c r="U158" s="89">
        <f>IF(Q158="tak",T158,IF(P158-SUM(AB$5:AB158)+1&gt;0,IF(Podsumowanie!E$7&lt;B158,IF(SUM(AB$5:AB158)-Podsumowanie!E$9+1&gt;0,PMT(M158/12,P158+1-SUM(AB$5:AB158),O158),T158),0),0))</f>
        <v>-1348.960030901939</v>
      </c>
      <c r="V158" s="89">
        <f t="shared" si="143"/>
        <v>-1023.4607883473875</v>
      </c>
      <c r="W158" s="90" t="str">
        <f>IF(R158&gt;0,R158/(C158*(1-Podsumowanie!E$11))," ")</f>
        <v xml:space="preserve"> </v>
      </c>
      <c r="X158" s="90">
        <f t="shared" si="150"/>
        <v>0</v>
      </c>
      <c r="Y158" s="91">
        <f t="shared" si="168"/>
        <v>-147.57948343639816</v>
      </c>
      <c r="Z158" s="90">
        <f>IF(P158-SUM(AB$5:AB158)+1&gt;0,IF(Podsumowanie!E$7&lt;B158,IF(SUM(AB$5:AB158)-Podsumowanie!E$9+1&gt;0,PMT(M158/12,P158+1-SUM(AB$5:AB158),N158),Y158),0),0)</f>
        <v>-611.6107152030977</v>
      </c>
      <c r="AA158" s="90">
        <f t="shared" si="136"/>
        <v>-464.03123176669953</v>
      </c>
      <c r="AB158" s="8">
        <f>IF(AND(Podsumowanie!E$7&lt;B158,SUM(AB$5:AB157)&lt;P157),1," ")</f>
        <v>1</v>
      </c>
      <c r="AD158" s="51">
        <f>IF(OR(B158&lt;Podsumowanie!E$12,Podsumowanie!E$12=""),-F158+S158,0)</f>
        <v>2193.139390225306</v>
      </c>
      <c r="AE158" s="51">
        <f t="shared" si="151"/>
        <v>0</v>
      </c>
      <c r="AG158" s="10">
        <f>Podsumowanie!E$4-SUM(AI$5:AI157)+SUM(W$42:W158)-SUM(X$42:X158)</f>
        <v>137912.77813555225</v>
      </c>
      <c r="AH158" s="10">
        <f t="shared" si="120"/>
        <v>139.06</v>
      </c>
      <c r="AI158" s="10">
        <f t="shared" si="121"/>
        <v>505.18</v>
      </c>
      <c r="AJ158" s="10">
        <f t="shared" si="134"/>
        <v>644.24</v>
      </c>
      <c r="AK158" s="10">
        <f t="shared" si="165"/>
        <v>2310.14</v>
      </c>
      <c r="AL158" s="10">
        <f>Podsumowanie!E$2-SUM(AN$5:AN157)+SUM(R$42:R158)-SUM(S$42:S158)</f>
        <v>304177.9599999999</v>
      </c>
      <c r="AM158" s="10">
        <f t="shared" si="122"/>
        <v>306.71</v>
      </c>
      <c r="AN158" s="10">
        <f t="shared" si="123"/>
        <v>1114.2</v>
      </c>
      <c r="AO158" s="10">
        <f t="shared" si="124"/>
        <v>1420.91</v>
      </c>
      <c r="AP158" s="10">
        <f t="shared" si="125"/>
        <v>889.2299999999998</v>
      </c>
      <c r="AR158" s="43">
        <f t="shared" si="166"/>
        <v>41913</v>
      </c>
      <c r="AS158" s="11">
        <f>AS$5+SUM(AV$5:AV157)-SUM(X$5:X158)+SUM(W$5:W158)</f>
        <v>141969.0237355103</v>
      </c>
      <c r="AT158" s="10">
        <f t="shared" si="126"/>
        <v>-143.15209893330623</v>
      </c>
      <c r="AU158" s="10">
        <f>IF(AB158=1,IF(Q158="tak",AT158,PMT(M158/12,P158+1-SUM(AB$5:AB158),AS158)),0)</f>
        <v>-593.2623937470047</v>
      </c>
      <c r="AV158" s="10">
        <f t="shared" si="127"/>
        <v>-450.1102948136985</v>
      </c>
      <c r="AW158" s="10">
        <f t="shared" si="128"/>
        <v>-2065.383697590822</v>
      </c>
      <c r="AY158" s="11">
        <f>AY$5+SUM(BA$5:BA157)+SUM(W$5:W157)-SUM(X$5:X157)</f>
        <v>133775.24719148566</v>
      </c>
      <c r="AZ158" s="11">
        <f t="shared" si="129"/>
        <v>-143.15209893330623</v>
      </c>
      <c r="BA158" s="11">
        <f t="shared" si="130"/>
        <v>-490.02</v>
      </c>
      <c r="BB158" s="11">
        <f t="shared" si="135"/>
        <v>-633.1720989333062</v>
      </c>
      <c r="BC158" s="11">
        <f t="shared" si="167"/>
        <v>-2204.325345226412</v>
      </c>
      <c r="BE158" s="172">
        <f t="shared" si="146"/>
        <v>0.0207</v>
      </c>
      <c r="BF158" s="44">
        <f>BE158+Podsumowanie!$E$6</f>
        <v>0.0327</v>
      </c>
      <c r="BG158" s="11">
        <f>BG$5+SUM(BH$5:BH157)+SUM(R$5:R157)-SUM(S$5:S157)</f>
        <v>353585.3621179095</v>
      </c>
      <c r="BH158" s="10">
        <f t="shared" si="137"/>
        <v>-869.7768915485468</v>
      </c>
      <c r="BI158" s="10">
        <f t="shared" si="132"/>
        <v>-963.5201117713033</v>
      </c>
      <c r="BJ158" s="10">
        <f>IF(U158&lt;0,PMT(BF158/12,Podsumowanie!E$8-SUM(AB$5:AB158)+1,BG158),0)</f>
        <v>-1833.29700331985</v>
      </c>
      <c r="BL158" s="11">
        <f>BL$5+SUM(BN$5:BN157)+SUM(R$5:R157)-SUM(S$5:S157)</f>
        <v>304178.27298050123</v>
      </c>
      <c r="BM158" s="11">
        <f t="shared" si="140"/>
        <v>-828.8857938718658</v>
      </c>
      <c r="BN158" s="11">
        <f t="shared" si="141"/>
        <v>-1114.2061281337042</v>
      </c>
      <c r="BO158" s="11">
        <f t="shared" si="142"/>
        <v>-1943.0919220055698</v>
      </c>
      <c r="BQ158" s="44">
        <f t="shared" si="147"/>
        <v>0.032799999999999996</v>
      </c>
      <c r="BR158" s="11">
        <f>BR$5+SUM(BS$5:BS157)+SUM(R$5:R157)-SUM(S$5:S157)+SUM(BV$5:BV157)</f>
        <v>385845.3818983476</v>
      </c>
      <c r="BS158" s="10">
        <f t="shared" si="157"/>
        <v>-947.9234152694075</v>
      </c>
      <c r="BT158" s="10">
        <f t="shared" si="158"/>
        <v>-1054.6440438554832</v>
      </c>
      <c r="BU158" s="10">
        <f>IF(U158&lt;0,PMT(BQ158/12,Podsumowanie!E$8-SUM(AB$5:AB158)+1,BR158),0)</f>
        <v>-2002.5674591248908</v>
      </c>
      <c r="BV158" s="10">
        <f t="shared" si="152"/>
        <v>-190.57193110041544</v>
      </c>
      <c r="BX158" s="11">
        <f>BX$5+SUM(BZ$5:BZ157)+SUM(R$5:R157)-SUM(S$5:S157)+SUM(CB$5,CB157)</f>
        <v>303876.51044750726</v>
      </c>
      <c r="BY158" s="10">
        <f t="shared" si="148"/>
        <v>-830.5957952231864</v>
      </c>
      <c r="BZ158" s="10">
        <f t="shared" si="149"/>
        <v>-1113.10077086999</v>
      </c>
      <c r="CA158" s="10">
        <f t="shared" si="159"/>
        <v>-1943.6965660931764</v>
      </c>
      <c r="CB158" s="10">
        <f t="shared" si="160"/>
        <v>-249.44282413212977</v>
      </c>
      <c r="CD158" s="10">
        <f>CD$5+SUM(CE$5:CE157)+SUM(R$5:R157)-SUM(S$5:S157)-SUM(CF$5:CF157)</f>
        <v>367481.9743806157</v>
      </c>
      <c r="CE158" s="10">
        <f t="shared" si="153"/>
        <v>830.5957952231864</v>
      </c>
      <c r="CF158" s="10">
        <f t="shared" si="154"/>
        <v>2193.139390225306</v>
      </c>
      <c r="CG158" s="10">
        <f t="shared" si="155"/>
        <v>1362.5435950021197</v>
      </c>
      <c r="CI158" s="44">
        <v>0.464</v>
      </c>
      <c r="CJ158" s="10">
        <f t="shared" si="156"/>
        <v>-1017.62</v>
      </c>
      <c r="CK158" s="4">
        <f t="shared" si="161"/>
        <v>0</v>
      </c>
      <c r="CM158" s="10">
        <f t="shared" si="162"/>
        <v>-177920.02937838665</v>
      </c>
      <c r="CN158" s="4">
        <f t="shared" si="163"/>
        <v>-306.912050677717</v>
      </c>
    </row>
    <row r="159" spans="1:92" ht="15.75">
      <c r="A159" s="36"/>
      <c r="B159" s="37">
        <v>41944</v>
      </c>
      <c r="C159" s="77">
        <f t="shared" si="144"/>
        <v>3.5011</v>
      </c>
      <c r="D159" s="78">
        <f>C159*(1+Podsumowanie!E$11)</f>
        <v>3.6061330000000003</v>
      </c>
      <c r="E159" s="34">
        <f t="shared" si="117"/>
        <v>-611.6107152030978</v>
      </c>
      <c r="F159" s="7">
        <f t="shared" si="138"/>
        <v>-2205.549583247493</v>
      </c>
      <c r="G159" s="7">
        <f t="shared" si="118"/>
        <v>-1348.960030901939</v>
      </c>
      <c r="H159" s="7">
        <f t="shared" si="139"/>
        <v>856.589552345554</v>
      </c>
      <c r="I159" s="32"/>
      <c r="J159" s="4" t="str">
        <f t="shared" si="164"/>
        <v xml:space="preserve"> </v>
      </c>
      <c r="K159" s="4">
        <f>IF(B159&lt;Podsumowanie!E$7,0,K158+1)</f>
        <v>89</v>
      </c>
      <c r="L159" s="100">
        <f t="shared" si="145"/>
        <v>0.0001</v>
      </c>
      <c r="M159" s="38">
        <f>L159+Podsumowanie!E$6</f>
        <v>0.0121</v>
      </c>
      <c r="N159" s="101">
        <f>MAX(Podsumowanie!E$4+SUM(AA$5:AA158)-SUM(X$5:X159)+SUM(W$5:W159),0)</f>
        <v>145895.78705226455</v>
      </c>
      <c r="O159" s="102">
        <f>MAX(Podsumowanie!E$2+SUM(V$5:V158)-SUM(S$5:S159)+SUM(R$5:R159),0)</f>
        <v>321785.70538145583</v>
      </c>
      <c r="P159" s="39">
        <f t="shared" si="133"/>
        <v>360</v>
      </c>
      <c r="Q159" s="40" t="str">
        <f>IF(AND(K159&gt;0,K159&lt;=Podsumowanie!E$9),"tak","nie")</f>
        <v>nie</v>
      </c>
      <c r="R159" s="41"/>
      <c r="S159" s="42"/>
      <c r="T159" s="88">
        <f t="shared" si="119"/>
        <v>-324.4672529263013</v>
      </c>
      <c r="U159" s="89">
        <f>IF(Q159="tak",T159,IF(P159-SUM(AB$5:AB159)+1&gt;0,IF(Podsumowanie!E$7&lt;B159,IF(SUM(AB$5:AB159)-Podsumowanie!E$9+1&gt;0,PMT(M159/12,P159+1-SUM(AB$5:AB159),O159),T159),0),0))</f>
        <v>-1348.960030901939</v>
      </c>
      <c r="V159" s="89">
        <f t="shared" si="143"/>
        <v>-1024.4927779756376</v>
      </c>
      <c r="W159" s="90" t="str">
        <f>IF(R159&gt;0,R159/(C159*(1-Podsumowanie!E$11))," ")</f>
        <v xml:space="preserve"> </v>
      </c>
      <c r="X159" s="90">
        <f t="shared" si="150"/>
        <v>0</v>
      </c>
      <c r="Y159" s="91">
        <f t="shared" si="168"/>
        <v>-147.11158527770007</v>
      </c>
      <c r="Z159" s="90">
        <f>IF(P159-SUM(AB$5:AB159)+1&gt;0,IF(Podsumowanie!E$7&lt;B159,IF(SUM(AB$5:AB159)-Podsumowanie!E$9+1&gt;0,PMT(M159/12,P159+1-SUM(AB$5:AB159),N159),Y159),0),0)</f>
        <v>-611.6107152030978</v>
      </c>
      <c r="AA159" s="90">
        <f t="shared" si="136"/>
        <v>-464.4991299253977</v>
      </c>
      <c r="AB159" s="8">
        <f>IF(AND(Podsumowanie!E$7&lt;B159,SUM(AB$5:AB158)&lt;P158),1," ")</f>
        <v>1</v>
      </c>
      <c r="AD159" s="51">
        <f>IF(OR(B159&lt;Podsumowanie!E$12,Podsumowanie!E$12=""),-F159+S159,0)</f>
        <v>2205.549583247493</v>
      </c>
      <c r="AE159" s="51">
        <f t="shared" si="151"/>
        <v>0</v>
      </c>
      <c r="AG159" s="10">
        <f>Podsumowanie!E$4-SUM(AI$5:AI158)+SUM(W$42:W159)-SUM(X$42:X159)</f>
        <v>137407.59813555225</v>
      </c>
      <c r="AH159" s="10">
        <f t="shared" si="120"/>
        <v>138.55</v>
      </c>
      <c r="AI159" s="10">
        <f t="shared" si="121"/>
        <v>505.17</v>
      </c>
      <c r="AJ159" s="10">
        <f t="shared" si="134"/>
        <v>643.72</v>
      </c>
      <c r="AK159" s="10">
        <f t="shared" si="165"/>
        <v>2321.34</v>
      </c>
      <c r="AL159" s="10">
        <f>Podsumowanie!E$2-SUM(AN$5:AN158)+SUM(R$42:R159)-SUM(S$42:S159)</f>
        <v>303063.7599999999</v>
      </c>
      <c r="AM159" s="10">
        <f t="shared" si="122"/>
        <v>305.59</v>
      </c>
      <c r="AN159" s="10">
        <f t="shared" si="123"/>
        <v>1114.21</v>
      </c>
      <c r="AO159" s="10">
        <f t="shared" si="124"/>
        <v>1419.8</v>
      </c>
      <c r="AP159" s="10">
        <f t="shared" si="125"/>
        <v>901.5400000000002</v>
      </c>
      <c r="AR159" s="43">
        <f t="shared" si="166"/>
        <v>41944</v>
      </c>
      <c r="AS159" s="11">
        <f>AS$5+SUM(AV$5:AV158)-SUM(X$5:X159)+SUM(W$5:W159)</f>
        <v>141518.9134406966</v>
      </c>
      <c r="AT159" s="10">
        <f t="shared" si="126"/>
        <v>-142.69823771936908</v>
      </c>
      <c r="AU159" s="10">
        <f>IF(AB159=1,IF(Q159="tak",AT159,PMT(M159/12,P159+1-SUM(AB$5:AB159),AS159)),0)</f>
        <v>-593.2623937470048</v>
      </c>
      <c r="AV159" s="10">
        <f t="shared" si="127"/>
        <v>-450.5641560276357</v>
      </c>
      <c r="AW159" s="10">
        <f t="shared" si="128"/>
        <v>-2077.0709667476385</v>
      </c>
      <c r="AY159" s="11">
        <f>AY$5+SUM(BA$5:BA158)+SUM(W$5:W158)-SUM(X$5:X158)</f>
        <v>133285.22719148567</v>
      </c>
      <c r="AZ159" s="11">
        <f t="shared" si="129"/>
        <v>-142.69823771936908</v>
      </c>
      <c r="BA159" s="11">
        <f t="shared" si="130"/>
        <v>-490.02</v>
      </c>
      <c r="BB159" s="11">
        <f t="shared" si="135"/>
        <v>-632.7182377193691</v>
      </c>
      <c r="BC159" s="11">
        <f t="shared" si="167"/>
        <v>-2215.209822079283</v>
      </c>
      <c r="BE159" s="172">
        <f t="shared" si="146"/>
        <v>0.0203</v>
      </c>
      <c r="BF159" s="44">
        <f>BE159+Podsumowanie!$E$6</f>
        <v>0.032299999999999995</v>
      </c>
      <c r="BG159" s="11">
        <f>BG$5+SUM(BH$5:BH158)+SUM(R$5:R158)-SUM(S$5:S158)</f>
        <v>352715.58522636094</v>
      </c>
      <c r="BH159" s="10">
        <f t="shared" si="137"/>
        <v>-876.583986787429</v>
      </c>
      <c r="BI159" s="10">
        <f t="shared" si="132"/>
        <v>-949.3927835676213</v>
      </c>
      <c r="BJ159" s="10">
        <f>IF(U159&lt;0,PMT(BF159/12,Podsumowanie!E$8-SUM(AB$5:AB159)+1,BG159),0)</f>
        <v>-1825.9767703550503</v>
      </c>
      <c r="BL159" s="11">
        <f>BL$5+SUM(BN$5:BN158)+SUM(R$5:R158)-SUM(S$5:S158)</f>
        <v>303064.06685236754</v>
      </c>
      <c r="BM159" s="11">
        <f t="shared" si="140"/>
        <v>-815.7474466109558</v>
      </c>
      <c r="BN159" s="11">
        <f t="shared" si="141"/>
        <v>-1114.2061281337042</v>
      </c>
      <c r="BO159" s="11">
        <f t="shared" si="142"/>
        <v>-1929.9535747446598</v>
      </c>
      <c r="BQ159" s="44">
        <f t="shared" si="147"/>
        <v>0.0324</v>
      </c>
      <c r="BR159" s="11">
        <f>BR$5+SUM(BS$5:BS158)+SUM(R$5:R158)-SUM(S$5:S158)+SUM(BV$5:BV158)</f>
        <v>384706.8865519778</v>
      </c>
      <c r="BS159" s="10">
        <f t="shared" si="157"/>
        <v>-954.8785823084095</v>
      </c>
      <c r="BT159" s="10">
        <f t="shared" si="158"/>
        <v>-1038.70859369034</v>
      </c>
      <c r="BU159" s="10">
        <f>IF(U159&lt;0,PMT(BQ159/12,Podsumowanie!E$8-SUM(AB$5:AB159)+1,BR159),0)</f>
        <v>-1993.5871759987494</v>
      </c>
      <c r="BV159" s="10">
        <f t="shared" si="152"/>
        <v>-211.9624072487436</v>
      </c>
      <c r="BX159" s="11">
        <f>BX$5+SUM(BZ$5:BZ158)+SUM(R$5:R158)-SUM(S$5:S158)+SUM(CB$5,CB158)</f>
        <v>302655.88335370825</v>
      </c>
      <c r="BY159" s="10">
        <f t="shared" si="148"/>
        <v>-817.1708850550123</v>
      </c>
      <c r="BZ159" s="10">
        <f t="shared" si="149"/>
        <v>-1112.7054535062803</v>
      </c>
      <c r="CA159" s="10">
        <f t="shared" si="159"/>
        <v>-1929.8763385612924</v>
      </c>
      <c r="CB159" s="10">
        <f t="shared" si="160"/>
        <v>-275.67324468620063</v>
      </c>
      <c r="CD159" s="10">
        <f>CD$5+SUM(CE$5:CE158)+SUM(R$5:R158)-SUM(S$5:S158)-SUM(CF$5:CF158)</f>
        <v>366119.4307856136</v>
      </c>
      <c r="CE159" s="10">
        <f t="shared" si="153"/>
        <v>817.1708850550123</v>
      </c>
      <c r="CF159" s="10">
        <f t="shared" si="154"/>
        <v>2205.549583247493</v>
      </c>
      <c r="CG159" s="10">
        <f t="shared" si="155"/>
        <v>1388.378698192481</v>
      </c>
      <c r="CI159" s="44">
        <v>0.464</v>
      </c>
      <c r="CJ159" s="10">
        <f t="shared" si="156"/>
        <v>-1023.38</v>
      </c>
      <c r="CK159" s="4">
        <f t="shared" si="161"/>
        <v>0</v>
      </c>
      <c r="CM159" s="10">
        <f t="shared" si="162"/>
        <v>-180125.57896163414</v>
      </c>
      <c r="CN159" s="4">
        <f t="shared" si="163"/>
        <v>-304.71243774343105</v>
      </c>
    </row>
    <row r="160" spans="1:92" ht="15.75">
      <c r="A160" s="36"/>
      <c r="B160" s="37">
        <v>41974</v>
      </c>
      <c r="C160" s="77">
        <f t="shared" si="144"/>
        <v>3.5123</v>
      </c>
      <c r="D160" s="78">
        <f>C160*(1+Podsumowanie!E$11)</f>
        <v>3.6176690000000002</v>
      </c>
      <c r="E160" s="34">
        <f t="shared" si="117"/>
        <v>-611.6107152030978</v>
      </c>
      <c r="F160" s="7">
        <f t="shared" si="138"/>
        <v>-2212.605124458076</v>
      </c>
      <c r="G160" s="7">
        <f t="shared" si="118"/>
        <v>-1348.960030901939</v>
      </c>
      <c r="H160" s="7">
        <f t="shared" si="139"/>
        <v>863.6450935561368</v>
      </c>
      <c r="I160" s="32"/>
      <c r="J160" s="4" t="str">
        <f t="shared" si="164"/>
        <v xml:space="preserve"> </v>
      </c>
      <c r="K160" s="4">
        <f>IF(B160&lt;Podsumowanie!E$7,0,K159+1)</f>
        <v>90</v>
      </c>
      <c r="L160" s="100">
        <f t="shared" si="145"/>
        <v>0.0001</v>
      </c>
      <c r="M160" s="38">
        <f>L160+Podsumowanie!E$6</f>
        <v>0.0121</v>
      </c>
      <c r="N160" s="101">
        <f>MAX(Podsumowanie!E$4+SUM(AA$5:AA159)-SUM(X$5:X160)+SUM(W$5:W160),0)</f>
        <v>145431.28792233916</v>
      </c>
      <c r="O160" s="102">
        <f>MAX(Podsumowanie!E$2+SUM(V$5:V159)-SUM(S$5:S160)+SUM(R$5:R160),0)</f>
        <v>320761.2126034802</v>
      </c>
      <c r="P160" s="39">
        <f t="shared" si="133"/>
        <v>360</v>
      </c>
      <c r="Q160" s="40" t="str">
        <f>IF(AND(K160&gt;0,K160&lt;=Podsumowanie!E$9),"tak","nie")</f>
        <v>nie</v>
      </c>
      <c r="R160" s="41"/>
      <c r="S160" s="42"/>
      <c r="T160" s="88">
        <f t="shared" si="119"/>
        <v>-323.4342227085092</v>
      </c>
      <c r="U160" s="89">
        <f>IF(Q160="tak",T160,IF(P160-SUM(AB$5:AB160)+1&gt;0,IF(Podsumowanie!E$7&lt;B160,IF(SUM(AB$5:AB160)-Podsumowanie!E$9+1&gt;0,PMT(M160/12,P160+1-SUM(AB$5:AB160),O160),T160),0),0))</f>
        <v>-1348.960030901939</v>
      </c>
      <c r="V160" s="89">
        <f t="shared" si="143"/>
        <v>-1025.5258081934298</v>
      </c>
      <c r="W160" s="90" t="str">
        <f>IF(R160&gt;0,R160/(C160*(1-Podsumowanie!E$11))," ")</f>
        <v xml:space="preserve"> </v>
      </c>
      <c r="X160" s="90">
        <f t="shared" si="150"/>
        <v>0</v>
      </c>
      <c r="Y160" s="91">
        <f t="shared" si="168"/>
        <v>-146.643215321692</v>
      </c>
      <c r="Z160" s="90">
        <f>IF(P160-SUM(AB$5:AB160)+1&gt;0,IF(Podsumowanie!E$7&lt;B160,IF(SUM(AB$5:AB160)-Podsumowanie!E$9+1&gt;0,PMT(M160/12,P160+1-SUM(AB$5:AB160),N160),Y160),0),0)</f>
        <v>-611.6107152030978</v>
      </c>
      <c r="AA160" s="90">
        <f t="shared" si="136"/>
        <v>-464.96749988140584</v>
      </c>
      <c r="AB160" s="8">
        <f>IF(AND(Podsumowanie!E$7&lt;B160,SUM(AB$5:AB159)&lt;P159),1," ")</f>
        <v>1</v>
      </c>
      <c r="AD160" s="51">
        <f>IF(OR(B160&lt;Podsumowanie!E$12,Podsumowanie!E$12=""),-F160+S160,0)</f>
        <v>2212.605124458076</v>
      </c>
      <c r="AE160" s="51">
        <f t="shared" si="151"/>
        <v>0</v>
      </c>
      <c r="AG160" s="10">
        <f>Podsumowanie!E$4-SUM(AI$5:AI159)+SUM(W$42:W160)-SUM(X$42:X160)</f>
        <v>136902.42813555224</v>
      </c>
      <c r="AH160" s="10">
        <f t="shared" si="120"/>
        <v>138.04</v>
      </c>
      <c r="AI160" s="10">
        <f t="shared" si="121"/>
        <v>505.18</v>
      </c>
      <c r="AJ160" s="10">
        <f t="shared" si="134"/>
        <v>643.22</v>
      </c>
      <c r="AK160" s="10">
        <f t="shared" si="165"/>
        <v>2326.96</v>
      </c>
      <c r="AL160" s="10">
        <f>Podsumowanie!E$2-SUM(AN$5:AN159)+SUM(R$42:R160)-SUM(S$42:S160)</f>
        <v>301949.5499999999</v>
      </c>
      <c r="AM160" s="10">
        <f t="shared" si="122"/>
        <v>304.47</v>
      </c>
      <c r="AN160" s="10">
        <f t="shared" si="123"/>
        <v>1114.2</v>
      </c>
      <c r="AO160" s="10">
        <f t="shared" si="124"/>
        <v>1418.67</v>
      </c>
      <c r="AP160" s="10">
        <f t="shared" si="125"/>
        <v>908.29</v>
      </c>
      <c r="AR160" s="43">
        <f t="shared" si="166"/>
        <v>41974</v>
      </c>
      <c r="AS160" s="11">
        <f>AS$5+SUM(AV$5:AV159)-SUM(X$5:X160)+SUM(W$5:W160)</f>
        <v>141068.34928466898</v>
      </c>
      <c r="AT160" s="10">
        <f t="shared" si="126"/>
        <v>-142.24391886204123</v>
      </c>
      <c r="AU160" s="10">
        <f>IF(AB160=1,IF(Q160="tak",AT160,PMT(M160/12,P160+1-SUM(AB$5:AB160),AS160)),0)</f>
        <v>-593.2623937470048</v>
      </c>
      <c r="AV160" s="10">
        <f t="shared" si="127"/>
        <v>-451.01847488496355</v>
      </c>
      <c r="AW160" s="10">
        <f t="shared" si="128"/>
        <v>-2083.715505557605</v>
      </c>
      <c r="AY160" s="11">
        <f>AY$5+SUM(BA$5:BA159)+SUM(W$5:W159)-SUM(X$5:X159)</f>
        <v>132795.20719148568</v>
      </c>
      <c r="AZ160" s="11">
        <f t="shared" si="129"/>
        <v>-142.24391886204123</v>
      </c>
      <c r="BA160" s="11">
        <f t="shared" si="130"/>
        <v>-490.02</v>
      </c>
      <c r="BB160" s="11">
        <f t="shared" si="135"/>
        <v>-632.2639188620412</v>
      </c>
      <c r="BC160" s="11">
        <f t="shared" si="167"/>
        <v>-2220.7005622191477</v>
      </c>
      <c r="BE160" s="172">
        <f t="shared" si="146"/>
        <v>0.0206</v>
      </c>
      <c r="BF160" s="44">
        <f>BE160+Podsumowanie!$E$6</f>
        <v>0.032600000000000004</v>
      </c>
      <c r="BG160" s="11">
        <f>BG$5+SUM(BH$5:BH159)+SUM(R$5:R159)-SUM(S$5:S159)</f>
        <v>351839.0012395735</v>
      </c>
      <c r="BH160" s="10">
        <f t="shared" si="137"/>
        <v>-875.6187513681467</v>
      </c>
      <c r="BI160" s="10">
        <f t="shared" si="132"/>
        <v>-955.8292867008416</v>
      </c>
      <c r="BJ160" s="10">
        <f>IF(U160&lt;0,PMT(BF160/12,Podsumowanie!E$8-SUM(AB$5:AB160)+1,BG160),0)</f>
        <v>-1831.4480380689884</v>
      </c>
      <c r="BL160" s="11">
        <f>BL$5+SUM(BN$5:BN159)+SUM(R$5:R159)-SUM(S$5:S159)</f>
        <v>301949.86072423385</v>
      </c>
      <c r="BM160" s="11">
        <f t="shared" si="140"/>
        <v>-820.2971216341688</v>
      </c>
      <c r="BN160" s="11">
        <f t="shared" si="141"/>
        <v>-1114.2061281337042</v>
      </c>
      <c r="BO160" s="11">
        <f t="shared" si="142"/>
        <v>-1934.503249767873</v>
      </c>
      <c r="BQ160" s="44">
        <f t="shared" si="147"/>
        <v>0.0327</v>
      </c>
      <c r="BR160" s="11">
        <f>BR$5+SUM(BS$5:BS159)+SUM(R$5:R159)-SUM(S$5:S159)+SUM(BV$5:BV159)</f>
        <v>383540.0455624207</v>
      </c>
      <c r="BS160" s="10">
        <f t="shared" si="157"/>
        <v>-953.3070625002656</v>
      </c>
      <c r="BT160" s="10">
        <f t="shared" si="158"/>
        <v>-1045.1466241575963</v>
      </c>
      <c r="BU160" s="10">
        <f>IF(U160&lt;0,PMT(BQ160/12,Podsumowanie!E$8-SUM(AB$5:AB160)+1,BR160),0)</f>
        <v>-1998.453686657862</v>
      </c>
      <c r="BV160" s="10">
        <f t="shared" si="152"/>
        <v>-214.1514378002139</v>
      </c>
      <c r="BX160" s="11">
        <f>BX$5+SUM(BZ$5:BZ159)+SUM(R$5:R159)-SUM(S$5:S159)+SUM(CB$5,CB159)</f>
        <v>301516.94747964793</v>
      </c>
      <c r="BY160" s="10">
        <f t="shared" si="148"/>
        <v>-821.6336818820406</v>
      </c>
      <c r="BZ160" s="10">
        <f t="shared" si="149"/>
        <v>-1112.6086622865237</v>
      </c>
      <c r="CA160" s="10">
        <f t="shared" si="159"/>
        <v>-1934.2423441685642</v>
      </c>
      <c r="CB160" s="10">
        <f t="shared" si="160"/>
        <v>-278.36278028951165</v>
      </c>
      <c r="CD160" s="10">
        <f>CD$5+SUM(CE$5:CE159)+SUM(R$5:R159)-SUM(S$5:S159)-SUM(CF$5:CF159)</f>
        <v>364731.0520874211</v>
      </c>
      <c r="CE160" s="10">
        <f t="shared" si="153"/>
        <v>821.6336818820406</v>
      </c>
      <c r="CF160" s="10">
        <f t="shared" si="154"/>
        <v>2212.605124458076</v>
      </c>
      <c r="CG160" s="10">
        <f t="shared" si="155"/>
        <v>1390.9714425760353</v>
      </c>
      <c r="CI160" s="44">
        <v>0.467</v>
      </c>
      <c r="CJ160" s="10">
        <f t="shared" si="156"/>
        <v>-1033.29</v>
      </c>
      <c r="CK160" s="4">
        <f t="shared" si="161"/>
        <v>0</v>
      </c>
      <c r="CM160" s="10">
        <f t="shared" si="162"/>
        <v>-182338.18408609222</v>
      </c>
      <c r="CN160" s="4">
        <f t="shared" si="163"/>
        <v>-313.013882681125</v>
      </c>
    </row>
    <row r="161" spans="1:92" ht="15.75">
      <c r="A161" s="36">
        <v>2015</v>
      </c>
      <c r="B161" s="37">
        <v>42005</v>
      </c>
      <c r="C161" s="77">
        <f t="shared" si="144"/>
        <v>3.9273</v>
      </c>
      <c r="D161" s="78">
        <f>C161*(1+Podsumowanie!E$11)</f>
        <v>4.045119</v>
      </c>
      <c r="E161" s="34">
        <f t="shared" si="117"/>
        <v>-611.6107152030977</v>
      </c>
      <c r="F161" s="7">
        <f t="shared" si="138"/>
        <v>-2474.0381246716393</v>
      </c>
      <c r="G161" s="7">
        <f t="shared" si="118"/>
        <v>-1348.960030901939</v>
      </c>
      <c r="H161" s="7">
        <f t="shared" si="139"/>
        <v>1125.0780937697002</v>
      </c>
      <c r="I161" s="32"/>
      <c r="J161" s="4" t="str">
        <f t="shared" si="164"/>
        <v xml:space="preserve"> </v>
      </c>
      <c r="K161" s="4">
        <f>IF(B161&lt;Podsumowanie!E$7,0,K160+1)</f>
        <v>91</v>
      </c>
      <c r="L161" s="100">
        <f t="shared" si="145"/>
        <v>0.0001</v>
      </c>
      <c r="M161" s="38">
        <f>L161+Podsumowanie!E$6</f>
        <v>0.0121</v>
      </c>
      <c r="N161" s="101">
        <f>MAX(Podsumowanie!E$4+SUM(AA$5:AA160)-SUM(X$5:X161)+SUM(W$5:W161),0)</f>
        <v>144966.32042245773</v>
      </c>
      <c r="O161" s="102">
        <f>MAX(Podsumowanie!E$2+SUM(V$5:V160)-SUM(S$5:S161)+SUM(R$5:R161),0)</f>
        <v>319735.6867952868</v>
      </c>
      <c r="P161" s="39">
        <f t="shared" si="133"/>
        <v>360</v>
      </c>
      <c r="Q161" s="40" t="str">
        <f>IF(AND(K161&gt;0,K161&lt;=Podsumowanie!E$9),"tak","nie")</f>
        <v>nie</v>
      </c>
      <c r="R161" s="46"/>
      <c r="S161" s="47"/>
      <c r="T161" s="88">
        <f t="shared" si="119"/>
        <v>-322.40015085191413</v>
      </c>
      <c r="U161" s="89">
        <f>IF(Q161="tak",T161,IF(P161-SUM(AB$5:AB161)+1&gt;0,IF(Podsumowanie!E$7&lt;B161,IF(SUM(AB$5:AB161)-Podsumowanie!E$9+1&gt;0,PMT(M161/12,P161+1-SUM(AB$5:AB161),O161),T161),0),0))</f>
        <v>-1348.960030901939</v>
      </c>
      <c r="V161" s="89">
        <f t="shared" si="143"/>
        <v>-1026.559880050025</v>
      </c>
      <c r="W161" s="90" t="str">
        <f>IF(R161&gt;0,R161/(C161*(1-Podsumowanie!E$11))," ")</f>
        <v xml:space="preserve"> </v>
      </c>
      <c r="X161" s="90">
        <f t="shared" si="150"/>
        <v>0</v>
      </c>
      <c r="Y161" s="91">
        <f t="shared" si="168"/>
        <v>-146.17437309264488</v>
      </c>
      <c r="Z161" s="90">
        <f>IF(P161-SUM(AB$5:AB161)+1&gt;0,IF(Podsumowanie!E$7&lt;B161,IF(SUM(AB$5:AB161)-Podsumowanie!E$9+1&gt;0,PMT(M161/12,P161+1-SUM(AB$5:AB161),N161),Y161),0),0)</f>
        <v>-611.6107152030977</v>
      </c>
      <c r="AA161" s="90">
        <f t="shared" si="136"/>
        <v>-465.4363421104528</v>
      </c>
      <c r="AB161" s="8">
        <f>IF(AND(Podsumowanie!E$7&lt;B161,SUM(AB$5:AB160)&lt;P160),1," ")</f>
        <v>1</v>
      </c>
      <c r="AD161" s="51">
        <f>IF(OR(B161&lt;Podsumowanie!E$12,Podsumowanie!E$12=""),-F161+S161,0)</f>
        <v>2474.0381246716393</v>
      </c>
      <c r="AE161" s="51">
        <f t="shared" si="151"/>
        <v>0</v>
      </c>
      <c r="AG161" s="10">
        <f>Podsumowanie!E$4-SUM(AI$5:AI160)+SUM(W$42:W161)-SUM(X$42:X161)</f>
        <v>136397.24813555225</v>
      </c>
      <c r="AH161" s="10">
        <f t="shared" si="120"/>
        <v>137.53</v>
      </c>
      <c r="AI161" s="10">
        <f t="shared" si="121"/>
        <v>505.17</v>
      </c>
      <c r="AJ161" s="10">
        <f t="shared" si="134"/>
        <v>642.7</v>
      </c>
      <c r="AK161" s="10">
        <f t="shared" si="165"/>
        <v>2599.8</v>
      </c>
      <c r="AL161" s="10">
        <f>Podsumowanie!E$2-SUM(AN$5:AN160)+SUM(R$42:R161)-SUM(S$42:S161)</f>
        <v>300835.34999999986</v>
      </c>
      <c r="AM161" s="10">
        <f t="shared" si="122"/>
        <v>303.34</v>
      </c>
      <c r="AN161" s="10">
        <f t="shared" si="123"/>
        <v>1114.21</v>
      </c>
      <c r="AO161" s="10">
        <f t="shared" si="124"/>
        <v>1417.55</v>
      </c>
      <c r="AP161" s="10">
        <f t="shared" si="125"/>
        <v>1182.2500000000002</v>
      </c>
      <c r="AR161" s="43">
        <f t="shared" si="166"/>
        <v>42005</v>
      </c>
      <c r="AS161" s="11">
        <f>AS$5+SUM(AV$5:AV160)-SUM(X$5:X161)+SUM(W$5:W161)</f>
        <v>140617.330809784</v>
      </c>
      <c r="AT161" s="10">
        <f t="shared" si="126"/>
        <v>-141.78914189986554</v>
      </c>
      <c r="AU161" s="10">
        <f>IF(AB161=1,IF(Q161="tak",AT161,PMT(M161/12,P161+1-SUM(AB$5:AB161),AS161)),0)</f>
        <v>-593.2623937470048</v>
      </c>
      <c r="AV161" s="10">
        <f t="shared" si="127"/>
        <v>-451.4732518471393</v>
      </c>
      <c r="AW161" s="10">
        <f t="shared" si="128"/>
        <v>-2329.919398962612</v>
      </c>
      <c r="AY161" s="11">
        <f>AY$5+SUM(BA$5:BA160)+SUM(W$5:W160)-SUM(X$5:X160)</f>
        <v>132305.18719148566</v>
      </c>
      <c r="AZ161" s="11">
        <f t="shared" si="129"/>
        <v>-141.78914189986554</v>
      </c>
      <c r="BA161" s="11">
        <f t="shared" si="130"/>
        <v>-490.02</v>
      </c>
      <c r="BB161" s="11">
        <f t="shared" si="135"/>
        <v>-631.8091418998655</v>
      </c>
      <c r="BC161" s="11">
        <f t="shared" si="167"/>
        <v>-2481.304042983342</v>
      </c>
      <c r="BE161" s="172">
        <f t="shared" si="146"/>
        <v>0.0203</v>
      </c>
      <c r="BF161" s="44">
        <f>BE161+Podsumowanie!$E$6</f>
        <v>0.032299999999999995</v>
      </c>
      <c r="BG161" s="11">
        <f>BG$5+SUM(BH$5:BH160)+SUM(R$5:R160)-SUM(S$5:S160)</f>
        <v>350963.3824882054</v>
      </c>
      <c r="BH161" s="10">
        <f t="shared" si="137"/>
        <v>-881.3176302950726</v>
      </c>
      <c r="BI161" s="10">
        <f t="shared" si="132"/>
        <v>-944.676437864086</v>
      </c>
      <c r="BJ161" s="10">
        <f>IF(U161&lt;0,PMT(BF161/12,Podsumowanie!E$8-SUM(AB$5:AB161)+1,BG161),0)</f>
        <v>-1825.9940681591586</v>
      </c>
      <c r="BL161" s="11">
        <f>BL$5+SUM(BN$5:BN160)+SUM(R$5:R160)-SUM(S$5:S160)</f>
        <v>300835.6545961001</v>
      </c>
      <c r="BM161" s="11">
        <f t="shared" si="140"/>
        <v>-809.7493036211694</v>
      </c>
      <c r="BN161" s="11">
        <f t="shared" si="141"/>
        <v>-1114.2061281337042</v>
      </c>
      <c r="BO161" s="11">
        <f t="shared" si="142"/>
        <v>-1923.9554317548736</v>
      </c>
      <c r="BQ161" s="44">
        <f t="shared" si="147"/>
        <v>0.0324</v>
      </c>
      <c r="BR161" s="11">
        <f>BR$5+SUM(BS$5:BS160)+SUM(R$5:R160)-SUM(S$5:S160)+SUM(BV$5:BV160)</f>
        <v>382372.5870621202</v>
      </c>
      <c r="BS161" s="10">
        <f t="shared" si="157"/>
        <v>-958.9836091691682</v>
      </c>
      <c r="BT161" s="10">
        <f t="shared" si="158"/>
        <v>-1032.4059850677245</v>
      </c>
      <c r="BU161" s="10">
        <f>IF(U161&lt;0,PMT(BQ161/12,Podsumowanie!E$8-SUM(AB$5:AB161)+1,BR161),0)</f>
        <v>-1991.3895942368927</v>
      </c>
      <c r="BV161" s="10">
        <f t="shared" si="152"/>
        <v>-482.6485304347466</v>
      </c>
      <c r="BX161" s="11">
        <f>BX$5+SUM(BZ$5:BZ160)+SUM(R$5:R160)-SUM(S$5:S160)+SUM(CB$5,CB160)</f>
        <v>300401.6492817581</v>
      </c>
      <c r="BY161" s="10">
        <f t="shared" si="148"/>
        <v>-811.0844530607469</v>
      </c>
      <c r="BZ161" s="10">
        <f t="shared" si="149"/>
        <v>-1112.5987010435485</v>
      </c>
      <c r="CA161" s="10">
        <f t="shared" si="159"/>
        <v>-1923.6831541042955</v>
      </c>
      <c r="CB161" s="10">
        <f t="shared" si="160"/>
        <v>-550.3549705673438</v>
      </c>
      <c r="CD161" s="10">
        <f>CD$5+SUM(CE$5:CE160)+SUM(R$5:R160)-SUM(S$5:S160)-SUM(CF$5:CF160)</f>
        <v>363340.0806448451</v>
      </c>
      <c r="CE161" s="10">
        <f t="shared" si="153"/>
        <v>811.0844530607469</v>
      </c>
      <c r="CF161" s="10">
        <f t="shared" si="154"/>
        <v>2474.0381246716393</v>
      </c>
      <c r="CG161" s="10">
        <f t="shared" si="155"/>
        <v>1662.9536716108923</v>
      </c>
      <c r="CI161" s="44">
        <v>0.4714</v>
      </c>
      <c r="CJ161" s="10">
        <f t="shared" si="156"/>
        <v>-1166.26</v>
      </c>
      <c r="CK161" s="4">
        <f t="shared" si="161"/>
        <v>0</v>
      </c>
      <c r="CM161" s="10">
        <f t="shared" si="162"/>
        <v>-184812.22221076387</v>
      </c>
      <c r="CN161" s="4">
        <f t="shared" si="163"/>
        <v>-312.6406759065422</v>
      </c>
    </row>
    <row r="162" spans="1:92" ht="15.75">
      <c r="A162" s="36"/>
      <c r="B162" s="37">
        <v>42036</v>
      </c>
      <c r="C162" s="77">
        <f t="shared" si="144"/>
        <v>3.9322</v>
      </c>
      <c r="D162" s="78">
        <f>C162*(1+Podsumowanie!E$11)</f>
        <v>4.050166</v>
      </c>
      <c r="E162" s="34">
        <f t="shared" si="117"/>
        <v>-555.9961752299864</v>
      </c>
      <c r="F162" s="7">
        <f t="shared" si="138"/>
        <v>-2251.8768050465333</v>
      </c>
      <c r="G162" s="7">
        <f t="shared" si="118"/>
        <v>-1226.2973801408045</v>
      </c>
      <c r="H162" s="7">
        <f t="shared" si="139"/>
        <v>1025.5794249057287</v>
      </c>
      <c r="I162" s="32"/>
      <c r="J162" s="4" t="str">
        <f t="shared" si="164"/>
        <v xml:space="preserve"> </v>
      </c>
      <c r="K162" s="4">
        <f>IF(B162&lt;Podsumowanie!E$7,0,K161+1)</f>
        <v>92</v>
      </c>
      <c r="L162" s="100">
        <f t="shared" si="145"/>
        <v>-0.0086</v>
      </c>
      <c r="M162" s="38">
        <f>L162+Podsumowanie!E$6</f>
        <v>0.0034000000000000002</v>
      </c>
      <c r="N162" s="101">
        <f>MAX(Podsumowanie!E$4+SUM(AA$5:AA161)-SUM(X$5:X162)+SUM(W$5:W162),0)</f>
        <v>144500.88408034728</v>
      </c>
      <c r="O162" s="102">
        <f>MAX(Podsumowanie!E$2+SUM(V$5:V161)-SUM(S$5:S162)+SUM(R$5:R162),0)</f>
        <v>318709.12691523676</v>
      </c>
      <c r="P162" s="39">
        <f t="shared" si="133"/>
        <v>360</v>
      </c>
      <c r="Q162" s="40" t="str">
        <f>IF(AND(K162&gt;0,K162&lt;=Podsumowanie!E$9),"tak","nie")</f>
        <v>nie</v>
      </c>
      <c r="R162" s="41"/>
      <c r="S162" s="42"/>
      <c r="T162" s="88">
        <f t="shared" si="119"/>
        <v>-90.30091929265042</v>
      </c>
      <c r="U162" s="89">
        <f>IF(Q162="tak",T162,IF(P162-SUM(AB$5:AB162)+1&gt;0,IF(Podsumowanie!E$7&lt;B162,IF(SUM(AB$5:AB162)-Podsumowanie!E$9+1&gt;0,PMT(M162/12,P162+1-SUM(AB$5:AB162),O162),T162),0),0))</f>
        <v>-1226.2973801408045</v>
      </c>
      <c r="V162" s="89">
        <f t="shared" si="143"/>
        <v>-1135.9964608481541</v>
      </c>
      <c r="W162" s="90" t="str">
        <f>IF(R162&gt;0,R162/(C162*(1-Podsumowanie!E$11))," ")</f>
        <v xml:space="preserve"> </v>
      </c>
      <c r="X162" s="90">
        <f t="shared" si="150"/>
        <v>0</v>
      </c>
      <c r="Y162" s="91">
        <f t="shared" si="168"/>
        <v>-40.9419171560984</v>
      </c>
      <c r="Z162" s="90">
        <f>IF(P162-SUM(AB$5:AB162)+1&gt;0,IF(Podsumowanie!E$7&lt;B162,IF(SUM(AB$5:AB162)-Podsumowanie!E$9+1&gt;0,PMT(M162/12,P162+1-SUM(AB$5:AB162),N162),Y162),0),0)</f>
        <v>-555.9961752299864</v>
      </c>
      <c r="AA162" s="90">
        <f t="shared" si="136"/>
        <v>-515.054258073888</v>
      </c>
      <c r="AB162" s="8">
        <f>IF(AND(Podsumowanie!E$7&lt;B162,SUM(AB$5:AB161)&lt;P161),1," ")</f>
        <v>1</v>
      </c>
      <c r="AD162" s="51">
        <f>IF(OR(B162&lt;Podsumowanie!E$12,Podsumowanie!E$12=""),-F162+S162,0)</f>
        <v>2251.8768050465333</v>
      </c>
      <c r="AE162" s="51">
        <f t="shared" si="151"/>
        <v>0</v>
      </c>
      <c r="AG162" s="10">
        <f>Podsumowanie!E$4-SUM(AI$5:AI161)+SUM(W$42:W162)-SUM(X$42:X162)</f>
        <v>135892.07813555223</v>
      </c>
      <c r="AH162" s="10">
        <f t="shared" si="120"/>
        <v>38.5</v>
      </c>
      <c r="AI162" s="10">
        <f t="shared" si="121"/>
        <v>505.18</v>
      </c>
      <c r="AJ162" s="10">
        <f t="shared" si="134"/>
        <v>543.6800000000001</v>
      </c>
      <c r="AK162" s="10">
        <f t="shared" si="165"/>
        <v>2201.99</v>
      </c>
      <c r="AL162" s="10">
        <f>Podsumowanie!E$2-SUM(AN$5:AN161)+SUM(R$42:R162)-SUM(S$42:S162)</f>
        <v>299721.1399999999</v>
      </c>
      <c r="AM162" s="10">
        <f t="shared" si="122"/>
        <v>84.92</v>
      </c>
      <c r="AN162" s="10">
        <f t="shared" si="123"/>
        <v>1114.2</v>
      </c>
      <c r="AO162" s="10">
        <f t="shared" si="124"/>
        <v>1199.1200000000001</v>
      </c>
      <c r="AP162" s="10">
        <f t="shared" si="125"/>
        <v>1002.8699999999997</v>
      </c>
      <c r="AR162" s="43">
        <f t="shared" si="166"/>
        <v>42036</v>
      </c>
      <c r="AS162" s="11">
        <f>AS$5+SUM(AV$5:AV161)-SUM(X$5:X162)+SUM(W$5:W162)</f>
        <v>140165.85755793686</v>
      </c>
      <c r="AT162" s="10">
        <f t="shared" si="126"/>
        <v>-39.71365964141545</v>
      </c>
      <c r="AU162" s="10">
        <f>IF(AB162=1,IF(Q162="tak",AT162,PMT(M162/12,P162+1-SUM(AB$5:AB162),AS162)),0)</f>
        <v>-539.3162899730869</v>
      </c>
      <c r="AV162" s="10">
        <f t="shared" si="127"/>
        <v>-499.60263033167143</v>
      </c>
      <c r="AW162" s="10">
        <f t="shared" si="128"/>
        <v>-2120.699515432172</v>
      </c>
      <c r="AY162" s="11">
        <f>AY$5+SUM(BA$5:BA161)+SUM(W$5:W161)-SUM(X$5:X161)</f>
        <v>131815.16719148567</v>
      </c>
      <c r="AZ162" s="11">
        <f t="shared" si="129"/>
        <v>-39.71365964141545</v>
      </c>
      <c r="BA162" s="11">
        <f t="shared" si="130"/>
        <v>-490.02</v>
      </c>
      <c r="BB162" s="11">
        <f t="shared" si="135"/>
        <v>-529.7336596414154</v>
      </c>
      <c r="BC162" s="11">
        <f t="shared" si="167"/>
        <v>-2083.0186964419736</v>
      </c>
      <c r="BE162" s="172">
        <f t="shared" si="146"/>
        <v>0.0192</v>
      </c>
      <c r="BF162" s="44">
        <f>BE162+Podsumowanie!$E$6</f>
        <v>0.0312</v>
      </c>
      <c r="BG162" s="11">
        <f>BG$5+SUM(BH$5:BH161)+SUM(R$5:R161)-SUM(S$5:S161)</f>
        <v>350082.0648579103</v>
      </c>
      <c r="BH162" s="10">
        <f t="shared" si="137"/>
        <v>-895.9261808785199</v>
      </c>
      <c r="BI162" s="10">
        <f t="shared" si="132"/>
        <v>-910.2133686305668</v>
      </c>
      <c r="BJ162" s="10">
        <f>IF(U162&lt;0,PMT(BF162/12,Podsumowanie!E$8-SUM(AB$5:AB162)+1,BG162),0)</f>
        <v>-1806.1395495090867</v>
      </c>
      <c r="BL162" s="11">
        <f>BL$5+SUM(BN$5:BN161)+SUM(R$5:R161)-SUM(S$5:S161)</f>
        <v>299721.4484679664</v>
      </c>
      <c r="BM162" s="11">
        <f t="shared" si="140"/>
        <v>-779.2757660167126</v>
      </c>
      <c r="BN162" s="11">
        <f t="shared" si="141"/>
        <v>-1114.2061281337042</v>
      </c>
      <c r="BO162" s="11">
        <f t="shared" si="142"/>
        <v>-1893.4818941504168</v>
      </c>
      <c r="BQ162" s="44">
        <f t="shared" si="147"/>
        <v>0.031299999999999994</v>
      </c>
      <c r="BR162" s="11">
        <f>BR$5+SUM(BS$5:BS161)+SUM(R$5:R161)-SUM(S$5:S161)+SUM(BV$5:BV161)</f>
        <v>380930.95492251625</v>
      </c>
      <c r="BS162" s="10">
        <f t="shared" si="157"/>
        <v>-973.6582662293275</v>
      </c>
      <c r="BT162" s="10">
        <f t="shared" si="158"/>
        <v>-993.5949074228964</v>
      </c>
      <c r="BU162" s="10">
        <f>IF(U162&lt;0,PMT(BQ162/12,Podsumowanie!E$8-SUM(AB$5:AB162)+1,BR162),0)</f>
        <v>-1967.253173652224</v>
      </c>
      <c r="BV162" s="10">
        <f t="shared" si="152"/>
        <v>-284.6236313943093</v>
      </c>
      <c r="BX162" s="11">
        <f>BX$5+SUM(BZ$5:BZ161)+SUM(R$5:R161)-SUM(S$5:S161)+SUM(CB$5,CB161)</f>
        <v>299017.05839043675</v>
      </c>
      <c r="BY162" s="10">
        <f t="shared" si="148"/>
        <v>-779.9361606350558</v>
      </c>
      <c r="BZ162" s="10">
        <f t="shared" si="149"/>
        <v>-1111.5875776596163</v>
      </c>
      <c r="CA162" s="10">
        <f t="shared" si="159"/>
        <v>-1891.523738294672</v>
      </c>
      <c r="CB162" s="10">
        <f t="shared" si="160"/>
        <v>-360.3530667518612</v>
      </c>
      <c r="CD162" s="10">
        <f>CD$5+SUM(CE$5:CE161)+SUM(R$5:R161)-SUM(S$5:S161)-SUM(CF$5:CF161)</f>
        <v>361677.12697323423</v>
      </c>
      <c r="CE162" s="10">
        <f t="shared" si="153"/>
        <v>779.9361606350558</v>
      </c>
      <c r="CF162" s="10">
        <f t="shared" si="154"/>
        <v>2251.8768050465333</v>
      </c>
      <c r="CG162" s="10">
        <f t="shared" si="155"/>
        <v>1471.9406444114775</v>
      </c>
      <c r="CI162" s="44">
        <v>0.4743</v>
      </c>
      <c r="CJ162" s="10">
        <f t="shared" si="156"/>
        <v>-1068.07</v>
      </c>
      <c r="CK162" s="4">
        <f t="shared" si="161"/>
        <v>0</v>
      </c>
      <c r="CM162" s="10">
        <f t="shared" si="162"/>
        <v>-187064.0990158104</v>
      </c>
      <c r="CN162" s="4">
        <f t="shared" si="163"/>
        <v>-299.30255842529664</v>
      </c>
    </row>
    <row r="163" spans="1:92" ht="15.75">
      <c r="A163" s="36"/>
      <c r="B163" s="37">
        <v>42064</v>
      </c>
      <c r="C163" s="77">
        <f t="shared" si="144"/>
        <v>3.8912</v>
      </c>
      <c r="D163" s="78">
        <f>C163*(1+Podsumowanie!E$11)</f>
        <v>4.007936</v>
      </c>
      <c r="E163" s="34">
        <f aca="true" t="shared" si="169" ref="E163:E176">Z163</f>
        <v>-555.9961752299864</v>
      </c>
      <c r="F163" s="7">
        <f aca="true" t="shared" si="170" ref="F163:F176">E163*D163</f>
        <v>-2228.397086566571</v>
      </c>
      <c r="G163" s="7">
        <f t="shared" si="118"/>
        <v>-1226.2973801408045</v>
      </c>
      <c r="H163" s="7">
        <f aca="true" t="shared" si="171" ref="H163:H176">G163-F163</f>
        <v>1002.0997064257665</v>
      </c>
      <c r="I163" s="32"/>
      <c r="J163" s="4" t="str">
        <f t="shared" si="164"/>
        <v xml:space="preserve"> </v>
      </c>
      <c r="K163" s="4">
        <f>IF(B163&lt;Podsumowanie!E$7,0,K162+1)</f>
        <v>93</v>
      </c>
      <c r="L163" s="100">
        <f t="shared" si="145"/>
        <v>-0.0086</v>
      </c>
      <c r="M163" s="38">
        <f>L163+Podsumowanie!E$6</f>
        <v>0.0034000000000000002</v>
      </c>
      <c r="N163" s="101">
        <f>MAX(Podsumowanie!E$4+SUM(AA$5:AA162)-SUM(X$5:X163)+SUM(W$5:W163),0)</f>
        <v>143985.8298222734</v>
      </c>
      <c r="O163" s="102">
        <f>MAX(Podsumowanie!E$2+SUM(V$5:V162)-SUM(S$5:S163)+SUM(R$5:R163),0)</f>
        <v>317573.1304543886</v>
      </c>
      <c r="P163" s="39">
        <f t="shared" si="133"/>
        <v>360</v>
      </c>
      <c r="Q163" s="40" t="str">
        <f>IF(AND(K163&gt;0,K163&lt;=Podsumowanie!E$9),"tak","nie")</f>
        <v>nie</v>
      </c>
      <c r="R163" s="41"/>
      <c r="S163" s="42"/>
      <c r="T163" s="88">
        <f t="shared" si="119"/>
        <v>-89.97905362874344</v>
      </c>
      <c r="U163" s="89">
        <f>IF(Q163="tak",T163,IF(P163-SUM(AB$5:AB163)+1&gt;0,IF(Podsumowanie!E$7&lt;B163,IF(SUM(AB$5:AB163)-Podsumowanie!E$9+1&gt;0,PMT(M163/12,P163+1-SUM(AB$5:AB163),O163),T163),0),0))</f>
        <v>-1226.2973801408045</v>
      </c>
      <c r="V163" s="89">
        <f t="shared" si="143"/>
        <v>-1136.318326512061</v>
      </c>
      <c r="W163" s="90" t="str">
        <f>IF(R163&gt;0,R163/(C163*(1-Podsumowanie!E$11))," ")</f>
        <v xml:space="preserve"> </v>
      </c>
      <c r="X163" s="90">
        <f t="shared" si="150"/>
        <v>0</v>
      </c>
      <c r="Y163" s="91">
        <f t="shared" si="168"/>
        <v>-40.795985116310796</v>
      </c>
      <c r="Z163" s="90">
        <f>IF(P163-SUM(AB$5:AB163)+1&gt;0,IF(Podsumowanie!E$7&lt;B163,IF(SUM(AB$5:AB163)-Podsumowanie!E$9+1&gt;0,PMT(M163/12,P163+1-SUM(AB$5:AB163),N163),Y163),0),0)</f>
        <v>-555.9961752299864</v>
      </c>
      <c r="AA163" s="90">
        <f aca="true" t="shared" si="172" ref="AA163:AA176">Z163-Y163</f>
        <v>-515.2001901136756</v>
      </c>
      <c r="AB163" s="8">
        <f>IF(AND(Podsumowanie!E$7&lt;B163,SUM(AB$5:AB162)&lt;P162),1," ")</f>
        <v>1</v>
      </c>
      <c r="AD163" s="51">
        <f>IF(OR(B163&lt;Podsumowanie!E$12,Podsumowanie!E$12=""),-F163+S163,0)</f>
        <v>2228.397086566571</v>
      </c>
      <c r="AE163" s="51">
        <f t="shared" si="151"/>
        <v>0</v>
      </c>
      <c r="AG163" s="10">
        <f>Podsumowanie!E$4-SUM(AI$5:AI162)+SUM(W$42:W163)-SUM(X$42:X163)</f>
        <v>135386.89813555224</v>
      </c>
      <c r="AH163" s="10">
        <f t="shared" si="120"/>
        <v>38.36</v>
      </c>
      <c r="AI163" s="10">
        <f t="shared" si="121"/>
        <v>505.17</v>
      </c>
      <c r="AJ163" s="10">
        <f t="shared" si="134"/>
        <v>543.53</v>
      </c>
      <c r="AK163" s="10">
        <f t="shared" si="165"/>
        <v>2178.43</v>
      </c>
      <c r="AL163" s="10">
        <f>Podsumowanie!E$2-SUM(AN$5:AN162)+SUM(R$42:R163)-SUM(S$42:S163)</f>
        <v>298606.9399999999</v>
      </c>
      <c r="AM163" s="10">
        <f t="shared" si="122"/>
        <v>84.61</v>
      </c>
      <c r="AN163" s="10">
        <f t="shared" si="123"/>
        <v>1114.21</v>
      </c>
      <c r="AO163" s="10">
        <f t="shared" si="124"/>
        <v>1198.82</v>
      </c>
      <c r="AP163" s="10">
        <f t="shared" si="125"/>
        <v>979.6099999999999</v>
      </c>
      <c r="AR163" s="43">
        <f t="shared" si="166"/>
        <v>42064</v>
      </c>
      <c r="AS163" s="11">
        <f>AS$5+SUM(AV$5:AV162)-SUM(X$5:X163)+SUM(W$5:W163)</f>
        <v>139666.2549276052</v>
      </c>
      <c r="AT163" s="10">
        <f t="shared" si="126"/>
        <v>-39.57210556282147</v>
      </c>
      <c r="AU163" s="10">
        <f>IF(AB163=1,IF(Q163="tak",AT163,PMT(M163/12,P163+1-SUM(AB$5:AB163),AS163)),0)</f>
        <v>-539.3162899730869</v>
      </c>
      <c r="AV163" s="10">
        <f t="shared" si="127"/>
        <v>-499.7441844102654</v>
      </c>
      <c r="AW163" s="10">
        <f t="shared" si="128"/>
        <v>-2098.587547543276</v>
      </c>
      <c r="AY163" s="11">
        <f>AY$5+SUM(BA$5:BA162)+SUM(W$5:W162)-SUM(X$5:X162)</f>
        <v>131325.14719148568</v>
      </c>
      <c r="AZ163" s="11">
        <f t="shared" si="129"/>
        <v>-39.57210556282147</v>
      </c>
      <c r="BA163" s="11">
        <f t="shared" si="130"/>
        <v>-490.02</v>
      </c>
      <c r="BB163" s="11">
        <f t="shared" si="135"/>
        <v>-529.5921055628214</v>
      </c>
      <c r="BC163" s="11">
        <f t="shared" si="167"/>
        <v>-2060.7488011660507</v>
      </c>
      <c r="BE163" s="172">
        <f t="shared" si="146"/>
        <v>0.0167</v>
      </c>
      <c r="BF163" s="44">
        <f>BE163+Podsumowanie!$E$6</f>
        <v>0.0287</v>
      </c>
      <c r="BG163" s="11">
        <f>BG$5+SUM(BH$5:BH162)+SUM(R$5:R162)-SUM(S$5:S162)</f>
        <v>349186.1386770318</v>
      </c>
      <c r="BH163" s="10">
        <f t="shared" si="137"/>
        <v>-926.4891125266417</v>
      </c>
      <c r="BI163" s="10">
        <f t="shared" si="132"/>
        <v>-835.136848335901</v>
      </c>
      <c r="BJ163" s="10">
        <f>IF(U163&lt;0,PMT(BF163/12,Podsumowanie!E$8-SUM(AB$5:AB163)+1,BG163),0)</f>
        <v>-1761.6259608625428</v>
      </c>
      <c r="BL163" s="11">
        <f>BL$5+SUM(BN$5:BN162)+SUM(R$5:R162)-SUM(S$5:S162)</f>
        <v>298607.2423398327</v>
      </c>
      <c r="BM163" s="11">
        <f t="shared" si="140"/>
        <v>-714.1689879294332</v>
      </c>
      <c r="BN163" s="11">
        <f t="shared" si="141"/>
        <v>-1114.2061281337042</v>
      </c>
      <c r="BO163" s="11">
        <f t="shared" si="142"/>
        <v>-1828.3751160631373</v>
      </c>
      <c r="BQ163" s="44">
        <f t="shared" si="147"/>
        <v>0.0288</v>
      </c>
      <c r="BR163" s="11">
        <f>BR$5+SUM(BS$5:BS162)+SUM(R$5:R162)-SUM(S$5:S162)+SUM(BV$5:BV162)</f>
        <v>379672.67302489263</v>
      </c>
      <c r="BS163" s="10">
        <f t="shared" si="157"/>
        <v>-1006.1369996640111</v>
      </c>
      <c r="BT163" s="10">
        <f t="shared" si="158"/>
        <v>-911.2144152597424</v>
      </c>
      <c r="BU163" s="10">
        <f>IF(U163&lt;0,PMT(BQ163/12,Podsumowanie!E$8-SUM(AB$5:AB163)+1,BR163),0)</f>
        <v>-1917.3514149237535</v>
      </c>
      <c r="BV163" s="10">
        <f t="shared" si="152"/>
        <v>-311.0456716428175</v>
      </c>
      <c r="BX163" s="11">
        <f>BX$5+SUM(BZ$5:BZ162)+SUM(R$5:R162)-SUM(S$5:S162)+SUM(CB$5,CB162)</f>
        <v>298095.4727165926</v>
      </c>
      <c r="BY163" s="10">
        <f t="shared" si="148"/>
        <v>-715.4291345198222</v>
      </c>
      <c r="BZ163" s="10">
        <f t="shared" si="149"/>
        <v>-1112.2965399872858</v>
      </c>
      <c r="CA163" s="10">
        <f t="shared" si="159"/>
        <v>-1827.7256745071081</v>
      </c>
      <c r="CB163" s="10">
        <f t="shared" si="160"/>
        <v>-400.6714120594629</v>
      </c>
      <c r="CD163" s="10">
        <f>CD$5+SUM(CE$5:CE162)+SUM(R$5:R162)-SUM(S$5:S162)-SUM(CF$5:CF162)</f>
        <v>360205.18632882263</v>
      </c>
      <c r="CE163" s="10">
        <f t="shared" si="153"/>
        <v>715.4291345198222</v>
      </c>
      <c r="CF163" s="10">
        <f t="shared" si="154"/>
        <v>2228.397086566571</v>
      </c>
      <c r="CG163" s="10">
        <f t="shared" si="155"/>
        <v>1512.967952046749</v>
      </c>
      <c r="CI163" s="44">
        <v>0.4758</v>
      </c>
      <c r="CJ163" s="10">
        <f t="shared" si="156"/>
        <v>-1060.27</v>
      </c>
      <c r="CK163" s="4">
        <f t="shared" si="161"/>
        <v>0</v>
      </c>
      <c r="CM163" s="10">
        <f t="shared" si="162"/>
        <v>-189292.496102377</v>
      </c>
      <c r="CN163" s="4">
        <f t="shared" si="163"/>
        <v>-263.43205707580796</v>
      </c>
    </row>
    <row r="164" spans="1:92" ht="15.75">
      <c r="A164" s="36"/>
      <c r="B164" s="37">
        <v>42095</v>
      </c>
      <c r="C164" s="77">
        <f t="shared" si="144"/>
        <v>3.8812</v>
      </c>
      <c r="D164" s="78">
        <f>C164*(1+Podsumowanie!E$11)</f>
        <v>3.9976360000000004</v>
      </c>
      <c r="E164" s="34">
        <f t="shared" si="169"/>
        <v>-555.9961752299864</v>
      </c>
      <c r="F164" s="7">
        <f t="shared" si="170"/>
        <v>-2222.670325961702</v>
      </c>
      <c r="G164" s="7">
        <f t="shared" si="118"/>
        <v>-1226.2973801408045</v>
      </c>
      <c r="H164" s="7">
        <f t="shared" si="171"/>
        <v>996.3729458208975</v>
      </c>
      <c r="I164" s="32"/>
      <c r="J164" s="4" t="str">
        <f t="shared" si="164"/>
        <v xml:space="preserve"> </v>
      </c>
      <c r="K164" s="4">
        <f>IF(B164&lt;Podsumowanie!E$7,0,K163+1)</f>
        <v>94</v>
      </c>
      <c r="L164" s="100">
        <f t="shared" si="145"/>
        <v>-0.0086</v>
      </c>
      <c r="M164" s="38">
        <f>L164+Podsumowanie!E$6</f>
        <v>0.0034000000000000002</v>
      </c>
      <c r="N164" s="101">
        <f>MAX(Podsumowanie!E$4+SUM(AA$5:AA163)-SUM(X$5:X164)+SUM(W$5:W164),0)</f>
        <v>143470.62963215972</v>
      </c>
      <c r="O164" s="102">
        <f>MAX(Podsumowanie!E$2+SUM(V$5:V163)-SUM(S$5:S164)+SUM(R$5:R164),0)</f>
        <v>316436.81212787656</v>
      </c>
      <c r="P164" s="39">
        <f t="shared" si="133"/>
        <v>360</v>
      </c>
      <c r="Q164" s="40" t="str">
        <f>IF(AND(K164&gt;0,K164&lt;=Podsumowanie!E$9),"tak","nie")</f>
        <v>nie</v>
      </c>
      <c r="R164" s="41"/>
      <c r="S164" s="42"/>
      <c r="T164" s="88">
        <f t="shared" si="119"/>
        <v>-89.65709676956503</v>
      </c>
      <c r="U164" s="89">
        <f>IF(Q164="tak",T164,IF(P164-SUM(AB$5:AB164)+1&gt;0,IF(Podsumowanie!E$7&lt;B164,IF(SUM(AB$5:AB164)-Podsumowanie!E$9+1&gt;0,PMT(M164/12,P164+1-SUM(AB$5:AB164),O164),T164),0),0))</f>
        <v>-1226.2973801408045</v>
      </c>
      <c r="V164" s="89">
        <f t="shared" si="143"/>
        <v>-1136.6402833712395</v>
      </c>
      <c r="W164" s="90" t="str">
        <f>IF(R164&gt;0,R164/(C164*(1-Podsumowanie!E$11))," ")</f>
        <v xml:space="preserve"> </v>
      </c>
      <c r="X164" s="90">
        <f t="shared" si="150"/>
        <v>0</v>
      </c>
      <c r="Y164" s="91">
        <f t="shared" si="168"/>
        <v>-40.650011729111924</v>
      </c>
      <c r="Z164" s="90">
        <f>IF(P164-SUM(AB$5:AB164)+1&gt;0,IF(Podsumowanie!E$7&lt;B164,IF(SUM(AB$5:AB164)-Podsumowanie!E$9+1&gt;0,PMT(M164/12,P164+1-SUM(AB$5:AB164),N164),Y164),0),0)</f>
        <v>-555.9961752299864</v>
      </c>
      <c r="AA164" s="90">
        <f t="shared" si="172"/>
        <v>-515.3461635008745</v>
      </c>
      <c r="AB164" s="8">
        <f>IF(AND(Podsumowanie!E$7&lt;B164,SUM(AB$5:AB163)&lt;P163),1," ")</f>
        <v>1</v>
      </c>
      <c r="AD164" s="51">
        <f>IF(OR(B164&lt;Podsumowanie!E$12,Podsumowanie!E$12=""),-F164+S164,0)</f>
        <v>2222.670325961702</v>
      </c>
      <c r="AE164" s="51">
        <f t="shared" si="151"/>
        <v>0</v>
      </c>
      <c r="AG164" s="10">
        <f>Podsumowanie!E$4-SUM(AI$5:AI163)+SUM(W$42:W164)-SUM(X$42:X164)</f>
        <v>134881.72813555226</v>
      </c>
      <c r="AH164" s="10">
        <f t="shared" si="120"/>
        <v>38.22</v>
      </c>
      <c r="AI164" s="10">
        <f t="shared" si="121"/>
        <v>505.18</v>
      </c>
      <c r="AJ164" s="10">
        <f t="shared" si="134"/>
        <v>543.4</v>
      </c>
      <c r="AK164" s="10">
        <f t="shared" si="165"/>
        <v>2172.32</v>
      </c>
      <c r="AL164" s="10">
        <f>Podsumowanie!E$2-SUM(AN$5:AN163)+SUM(R$42:R164)-SUM(S$42:S164)</f>
        <v>297492.72999999986</v>
      </c>
      <c r="AM164" s="10">
        <f t="shared" si="122"/>
        <v>84.29</v>
      </c>
      <c r="AN164" s="10">
        <f t="shared" si="123"/>
        <v>1114.2</v>
      </c>
      <c r="AO164" s="10">
        <f t="shared" si="124"/>
        <v>1198.49</v>
      </c>
      <c r="AP164" s="10">
        <f t="shared" si="125"/>
        <v>973.8300000000002</v>
      </c>
      <c r="AR164" s="43">
        <f t="shared" si="166"/>
        <v>42095</v>
      </c>
      <c r="AS164" s="11">
        <f>AS$5+SUM(AV$5:AV163)-SUM(X$5:X164)+SUM(W$5:W164)</f>
        <v>139166.51074319493</v>
      </c>
      <c r="AT164" s="10">
        <f t="shared" si="126"/>
        <v>-39.43051137723857</v>
      </c>
      <c r="AU164" s="10">
        <f>IF(AB164=1,IF(Q164="tak",AT164,PMT(M164/12,P164+1-SUM(AB$5:AB164),AS164)),0)</f>
        <v>-539.3162899730869</v>
      </c>
      <c r="AV164" s="10">
        <f t="shared" si="127"/>
        <v>-499.8857785958483</v>
      </c>
      <c r="AW164" s="10">
        <f t="shared" si="128"/>
        <v>-2093.194384643545</v>
      </c>
      <c r="AY164" s="11">
        <f>AY$5+SUM(BA$5:BA163)+SUM(W$5:W163)-SUM(X$5:X163)</f>
        <v>130835.12719148569</v>
      </c>
      <c r="AZ164" s="11">
        <f t="shared" si="129"/>
        <v>-39.43051137723857</v>
      </c>
      <c r="BA164" s="11">
        <f t="shared" si="130"/>
        <v>-490.02</v>
      </c>
      <c r="BB164" s="11">
        <f t="shared" si="135"/>
        <v>-529.4505113772385</v>
      </c>
      <c r="BC164" s="11">
        <f t="shared" si="167"/>
        <v>-2054.9033247573384</v>
      </c>
      <c r="BE164" s="172">
        <f t="shared" si="146"/>
        <v>0.0165</v>
      </c>
      <c r="BF164" s="44">
        <f>BE164+Podsumowanie!$E$6</f>
        <v>0.0285</v>
      </c>
      <c r="BG164" s="11">
        <f>BG$5+SUM(BH$5:BH163)+SUM(R$5:R163)-SUM(S$5:S163)</f>
        <v>348259.64956450515</v>
      </c>
      <c r="BH164" s="10">
        <f t="shared" si="137"/>
        <v>-930.987754063234</v>
      </c>
      <c r="BI164" s="10">
        <f t="shared" si="132"/>
        <v>-827.1166677156998</v>
      </c>
      <c r="BJ164" s="10">
        <f>IF(U164&lt;0,PMT(BF164/12,Podsumowanie!E$8-SUM(AB$5:AB164)+1,BG164),0)</f>
        <v>-1758.1044217789338</v>
      </c>
      <c r="BL164" s="11">
        <f>BL$5+SUM(BN$5:BN163)+SUM(R$5:R163)-SUM(S$5:S163)</f>
        <v>297493.036211699</v>
      </c>
      <c r="BM164" s="11">
        <f t="shared" si="140"/>
        <v>-706.5459610027851</v>
      </c>
      <c r="BN164" s="11">
        <f t="shared" si="141"/>
        <v>-1114.2061281337042</v>
      </c>
      <c r="BO164" s="11">
        <f t="shared" si="142"/>
        <v>-1820.7520891364893</v>
      </c>
      <c r="BQ164" s="44">
        <f t="shared" si="147"/>
        <v>0.0286</v>
      </c>
      <c r="BR164" s="11">
        <f>BR$5+SUM(BS$5:BS163)+SUM(R$5:R163)-SUM(S$5:S163)+SUM(BV$5:BV163)</f>
        <v>378355.4903535858</v>
      </c>
      <c r="BS164" s="10">
        <f t="shared" si="157"/>
        <v>-1010.2010966260199</v>
      </c>
      <c r="BT164" s="10">
        <f t="shared" si="158"/>
        <v>-901.7472520093796</v>
      </c>
      <c r="BU164" s="10">
        <f>IF(U164&lt;0,PMT(BQ164/12,Podsumowanie!E$8-SUM(AB$5:AB164)+1,BR164),0)</f>
        <v>-1911.9483486353995</v>
      </c>
      <c r="BV164" s="10">
        <f t="shared" si="152"/>
        <v>-310.7219773263025</v>
      </c>
      <c r="BX164" s="11">
        <f>BX$5+SUM(BZ$5:BZ163)+SUM(R$5:R163)-SUM(S$5:S163)+SUM(CB$5,CB163)</f>
        <v>296942.8578312977</v>
      </c>
      <c r="BY164" s="10">
        <f t="shared" si="148"/>
        <v>-707.7138111645928</v>
      </c>
      <c r="BZ164" s="10">
        <f t="shared" si="149"/>
        <v>-1112.1455349486805</v>
      </c>
      <c r="CA164" s="10">
        <f t="shared" si="159"/>
        <v>-1819.8593461132732</v>
      </c>
      <c r="CB164" s="10">
        <f t="shared" si="160"/>
        <v>-402.8109798484288</v>
      </c>
      <c r="CD164" s="10">
        <f>CD$5+SUM(CE$5:CE163)+SUM(R$5:R163)-SUM(S$5:S163)-SUM(CF$5:CF163)</f>
        <v>358692.21837677597</v>
      </c>
      <c r="CE164" s="10">
        <f t="shared" si="153"/>
        <v>707.7138111645928</v>
      </c>
      <c r="CF164" s="10">
        <f t="shared" si="154"/>
        <v>2222.670325961702</v>
      </c>
      <c r="CG164" s="10">
        <f t="shared" si="155"/>
        <v>1514.9565147971093</v>
      </c>
      <c r="CI164" s="44">
        <v>0.4729</v>
      </c>
      <c r="CJ164" s="10">
        <f t="shared" si="156"/>
        <v>-1051.1</v>
      </c>
      <c r="CK164" s="4">
        <f t="shared" si="161"/>
        <v>0</v>
      </c>
      <c r="CM164" s="10">
        <f t="shared" si="162"/>
        <v>-191515.16642833868</v>
      </c>
      <c r="CN164" s="4">
        <f t="shared" si="163"/>
        <v>-263.3333538389657</v>
      </c>
    </row>
    <row r="165" spans="1:92" ht="15.75">
      <c r="A165" s="36"/>
      <c r="B165" s="37">
        <v>42125</v>
      </c>
      <c r="C165" s="77">
        <f t="shared" si="144"/>
        <v>3.9211</v>
      </c>
      <c r="D165" s="78">
        <f>C165*(1+Podsumowanie!E$11)</f>
        <v>4.038733000000001</v>
      </c>
      <c r="E165" s="34">
        <f t="shared" si="169"/>
        <v>-555.9961752299864</v>
      </c>
      <c r="F165" s="7">
        <f t="shared" si="170"/>
        <v>-2245.520100775129</v>
      </c>
      <c r="G165" s="7">
        <f t="shared" si="118"/>
        <v>-1226.2973801408043</v>
      </c>
      <c r="H165" s="7">
        <f t="shared" si="171"/>
        <v>1019.2227206343246</v>
      </c>
      <c r="I165" s="32"/>
      <c r="J165" s="4" t="str">
        <f t="shared" si="164"/>
        <v xml:space="preserve"> </v>
      </c>
      <c r="K165" s="4">
        <f>IF(B165&lt;Podsumowanie!E$7,0,K164+1)</f>
        <v>95</v>
      </c>
      <c r="L165" s="100">
        <f t="shared" si="145"/>
        <v>-0.0086</v>
      </c>
      <c r="M165" s="38">
        <f>L165+Podsumowanie!E$6</f>
        <v>0.0034000000000000002</v>
      </c>
      <c r="N165" s="101">
        <f>MAX(Podsumowanie!E$4+SUM(AA$5:AA164)-SUM(X$5:X165)+SUM(W$5:W165),0)</f>
        <v>142955.28346865886</v>
      </c>
      <c r="O165" s="102">
        <f>MAX(Podsumowanie!E$2+SUM(V$5:V164)-SUM(S$5:S165)+SUM(R$5:R165),0)</f>
        <v>315300.1718445053</v>
      </c>
      <c r="P165" s="39">
        <f t="shared" si="133"/>
        <v>360</v>
      </c>
      <c r="Q165" s="40" t="str">
        <f>IF(AND(K165&gt;0,K165&lt;=Podsumowanie!E$9),"tak","nie")</f>
        <v>nie</v>
      </c>
      <c r="R165" s="41"/>
      <c r="S165" s="42"/>
      <c r="T165" s="88">
        <f t="shared" si="119"/>
        <v>-89.3350486892765</v>
      </c>
      <c r="U165" s="89">
        <f>IF(Q165="tak",T165,IF(P165-SUM(AB$5:AB165)+1&gt;0,IF(Podsumowanie!E$7&lt;B165,IF(SUM(AB$5:AB165)-Podsumowanie!E$9+1&gt;0,PMT(M165/12,P165+1-SUM(AB$5:AB165),O165),T165),0),0))</f>
        <v>-1226.2973801408043</v>
      </c>
      <c r="V165" s="89">
        <f aca="true" t="shared" si="173" ref="V165:V176">U165-T165</f>
        <v>-1136.962331451528</v>
      </c>
      <c r="W165" s="90" t="str">
        <f>IF(R165&gt;0,R165/(C165*(1-Podsumowanie!E$11))," ")</f>
        <v xml:space="preserve"> </v>
      </c>
      <c r="X165" s="90">
        <f t="shared" si="150"/>
        <v>0</v>
      </c>
      <c r="Y165" s="91">
        <f t="shared" si="168"/>
        <v>-40.50399698278668</v>
      </c>
      <c r="Z165" s="90">
        <f>IF(P165-SUM(AB$5:AB165)+1&gt;0,IF(Podsumowanie!E$7&lt;B165,IF(SUM(AB$5:AB165)-Podsumowanie!E$9+1&gt;0,PMT(M165/12,P165+1-SUM(AB$5:AB165),N165),Y165),0),0)</f>
        <v>-555.9961752299864</v>
      </c>
      <c r="AA165" s="90">
        <f t="shared" si="172"/>
        <v>-515.4921782471997</v>
      </c>
      <c r="AB165" s="8">
        <f>IF(AND(Podsumowanie!E$7&lt;B165,SUM(AB$5:AB164)&lt;P164),1," ")</f>
        <v>1</v>
      </c>
      <c r="AD165" s="51">
        <f>IF(OR(B165&lt;Podsumowanie!E$12,Podsumowanie!E$12=""),-F165+S165,0)</f>
        <v>2245.520100775129</v>
      </c>
      <c r="AE165" s="51">
        <f t="shared" si="151"/>
        <v>0</v>
      </c>
      <c r="AG165" s="10">
        <f>Podsumowanie!E$4-SUM(AI$5:AI164)+SUM(W$42:W165)-SUM(X$42:X165)</f>
        <v>134376.54813555224</v>
      </c>
      <c r="AH165" s="10">
        <f t="shared" si="120"/>
        <v>38.07</v>
      </c>
      <c r="AI165" s="10">
        <f t="shared" si="121"/>
        <v>505.17</v>
      </c>
      <c r="AJ165" s="10">
        <f t="shared" si="134"/>
        <v>543.24</v>
      </c>
      <c r="AK165" s="10">
        <f t="shared" si="165"/>
        <v>2194</v>
      </c>
      <c r="AL165" s="10">
        <f>Podsumowanie!E$2-SUM(AN$5:AN164)+SUM(R$42:R165)-SUM(S$42:S165)</f>
        <v>296378.5299999999</v>
      </c>
      <c r="AM165" s="10">
        <f t="shared" si="122"/>
        <v>83.97</v>
      </c>
      <c r="AN165" s="10">
        <f t="shared" si="123"/>
        <v>1114.21</v>
      </c>
      <c r="AO165" s="10">
        <f t="shared" si="124"/>
        <v>1198.18</v>
      </c>
      <c r="AP165" s="10">
        <f t="shared" si="125"/>
        <v>995.8199999999999</v>
      </c>
      <c r="AR165" s="43">
        <f t="shared" si="166"/>
        <v>42125</v>
      </c>
      <c r="AS165" s="11">
        <f>AS$5+SUM(AV$5:AV164)-SUM(X$5:X165)+SUM(W$5:W165)</f>
        <v>138666.6249645991</v>
      </c>
      <c r="AT165" s="10">
        <f t="shared" si="126"/>
        <v>-39.28887707330308</v>
      </c>
      <c r="AU165" s="10">
        <f>IF(AB165=1,IF(Q165="tak",AT165,PMT(M165/12,P165+1-SUM(AB$5:AB165),AS165)),0)</f>
        <v>-539.3162899730869</v>
      </c>
      <c r="AV165" s="10">
        <f t="shared" si="127"/>
        <v>-500.0274128997838</v>
      </c>
      <c r="AW165" s="10">
        <f t="shared" si="128"/>
        <v>-2114.713104613471</v>
      </c>
      <c r="AY165" s="11">
        <f>AY$5+SUM(BA$5:BA164)+SUM(W$5:W164)-SUM(X$5:X164)</f>
        <v>130345.10719148569</v>
      </c>
      <c r="AZ165" s="11">
        <f t="shared" si="129"/>
        <v>-39.28887707330308</v>
      </c>
      <c r="BA165" s="11">
        <f t="shared" si="130"/>
        <v>-490.02</v>
      </c>
      <c r="BB165" s="11">
        <f t="shared" si="135"/>
        <v>-529.308877073303</v>
      </c>
      <c r="BC165" s="11">
        <f t="shared" si="167"/>
        <v>-2075.4730378921286</v>
      </c>
      <c r="BE165" s="172">
        <f t="shared" si="146"/>
        <v>0.0167</v>
      </c>
      <c r="BF165" s="44">
        <f>BE165+Podsumowanie!$E$6</f>
        <v>0.0287</v>
      </c>
      <c r="BG165" s="11">
        <f>BG$5+SUM(BH$5:BH164)+SUM(R$5:R164)-SUM(S$5:S164)</f>
        <v>347328.6618104419</v>
      </c>
      <c r="BH165" s="10">
        <f t="shared" si="137"/>
        <v>-930.9199999702422</v>
      </c>
      <c r="BI165" s="10">
        <f t="shared" si="132"/>
        <v>-830.6943828299735</v>
      </c>
      <c r="BJ165" s="10">
        <f>IF(U165&lt;0,PMT(BF165/12,Podsumowanie!E$8-SUM(AB$5:AB165)+1,BG165),0)</f>
        <v>-1761.6143828002157</v>
      </c>
      <c r="BL165" s="11">
        <f>BL$5+SUM(BN$5:BN164)+SUM(R$5:R164)-SUM(S$5:S164)</f>
        <v>296378.8300835653</v>
      </c>
      <c r="BM165" s="11">
        <f t="shared" si="140"/>
        <v>-708.8393686165272</v>
      </c>
      <c r="BN165" s="11">
        <f t="shared" si="141"/>
        <v>-1114.2061281337042</v>
      </c>
      <c r="BO165" s="11">
        <f t="shared" si="142"/>
        <v>-1823.0454967502315</v>
      </c>
      <c r="BQ165" s="44">
        <f t="shared" si="147"/>
        <v>0.0288</v>
      </c>
      <c r="BR165" s="11">
        <f>BR$5+SUM(BS$5:BS164)+SUM(R$5:R164)-SUM(S$5:S164)+SUM(BV$5:BV164)</f>
        <v>377034.5672796335</v>
      </c>
      <c r="BS165" s="10">
        <f t="shared" si="157"/>
        <v>-1009.3033952529204</v>
      </c>
      <c r="BT165" s="10">
        <f t="shared" si="158"/>
        <v>-904.8829614711203</v>
      </c>
      <c r="BU165" s="10">
        <f>IF(U165&lt;0,PMT(BQ165/12,Podsumowanie!E$8-SUM(AB$5:AB165)+1,BR165),0)</f>
        <v>-1914.1863567240407</v>
      </c>
      <c r="BV165" s="10">
        <f t="shared" si="152"/>
        <v>-331.33374405108816</v>
      </c>
      <c r="BX165" s="11">
        <f>BX$5+SUM(BZ$5:BZ164)+SUM(R$5:R164)-SUM(S$5:S164)+SUM(CB$5,CB164)</f>
        <v>295828.57272856</v>
      </c>
      <c r="BY165" s="10">
        <f t="shared" si="148"/>
        <v>-709.988574548544</v>
      </c>
      <c r="BZ165" s="10">
        <f t="shared" si="149"/>
        <v>-1112.137491460752</v>
      </c>
      <c r="CA165" s="10">
        <f t="shared" si="159"/>
        <v>-1822.126066009296</v>
      </c>
      <c r="CB165" s="10">
        <f t="shared" si="160"/>
        <v>-423.3940347658329</v>
      </c>
      <c r="CD165" s="10">
        <f>CD$5+SUM(CE$5:CE164)+SUM(R$5:R164)-SUM(S$5:S164)-SUM(CF$5:CF164)</f>
        <v>357177.26186197886</v>
      </c>
      <c r="CE165" s="10">
        <f t="shared" si="153"/>
        <v>709.988574548544</v>
      </c>
      <c r="CF165" s="10">
        <f t="shared" si="154"/>
        <v>2245.520100775129</v>
      </c>
      <c r="CG165" s="10">
        <f t="shared" si="155"/>
        <v>1535.531526226585</v>
      </c>
      <c r="CI165" s="44">
        <v>0.467</v>
      </c>
      <c r="CJ165" s="10">
        <f t="shared" si="156"/>
        <v>-1048.66</v>
      </c>
      <c r="CK165" s="4">
        <f t="shared" si="161"/>
        <v>0</v>
      </c>
      <c r="CM165" s="10">
        <f t="shared" si="162"/>
        <v>-193760.6865291138</v>
      </c>
      <c r="CN165" s="4">
        <f t="shared" si="163"/>
        <v>-269.6502887530167</v>
      </c>
    </row>
    <row r="166" spans="1:92" ht="15.75">
      <c r="A166" s="36"/>
      <c r="B166" s="37">
        <v>42156</v>
      </c>
      <c r="C166" s="77">
        <f t="shared" si="144"/>
        <v>3.9817</v>
      </c>
      <c r="D166" s="78">
        <f>C166*(1+Podsumowanie!E$11)</f>
        <v>4.101151</v>
      </c>
      <c r="E166" s="34">
        <f t="shared" si="169"/>
        <v>-555.9961752299868</v>
      </c>
      <c r="F166" s="7">
        <f t="shared" si="170"/>
        <v>-2280.2242700406355</v>
      </c>
      <c r="G166" s="7">
        <f t="shared" si="118"/>
        <v>-1226.2973801408048</v>
      </c>
      <c r="H166" s="7">
        <f t="shared" si="171"/>
        <v>1053.9268898998307</v>
      </c>
      <c r="I166" s="32"/>
      <c r="J166" s="4" t="str">
        <f t="shared" si="164"/>
        <v xml:space="preserve"> </v>
      </c>
      <c r="K166" s="4">
        <f>IF(B166&lt;Podsumowanie!E$7,0,K165+1)</f>
        <v>96</v>
      </c>
      <c r="L166" s="100">
        <f t="shared" si="145"/>
        <v>-0.0086</v>
      </c>
      <c r="M166" s="38">
        <f>L166+Podsumowanie!E$6</f>
        <v>0.0034000000000000002</v>
      </c>
      <c r="N166" s="101">
        <f>MAX(Podsumowanie!E$4+SUM(AA$5:AA165)-SUM(X$5:X166)+SUM(W$5:W166),0)</f>
        <v>142439.79129041167</v>
      </c>
      <c r="O166" s="102">
        <f>MAX(Podsumowanie!E$2+SUM(V$5:V165)-SUM(S$5:S166)+SUM(R$5:R166),0)</f>
        <v>314163.20951305376</v>
      </c>
      <c r="P166" s="39">
        <f t="shared" si="133"/>
        <v>360</v>
      </c>
      <c r="Q166" s="40" t="str">
        <f>IF(AND(K166&gt;0,K166&lt;=Podsumowanie!E$9),"tak","nie")</f>
        <v>nie</v>
      </c>
      <c r="R166" s="41"/>
      <c r="S166" s="42"/>
      <c r="T166" s="88">
        <f t="shared" si="119"/>
        <v>-89.0129093620319</v>
      </c>
      <c r="U166" s="89">
        <f>IF(Q166="tak",T166,IF(P166-SUM(AB$5:AB166)+1&gt;0,IF(Podsumowanie!E$7&lt;B166,IF(SUM(AB$5:AB166)-Podsumowanie!E$9+1&gt;0,PMT(M166/12,P166+1-SUM(AB$5:AB166),O166),T166),0),0))</f>
        <v>-1226.2973801408048</v>
      </c>
      <c r="V166" s="89">
        <f t="shared" si="173"/>
        <v>-1137.2844707787729</v>
      </c>
      <c r="W166" s="90" t="str">
        <f>IF(R166&gt;0,R166/(C166*(1-Podsumowanie!E$11))," ")</f>
        <v xml:space="preserve"> </v>
      </c>
      <c r="X166" s="90">
        <f t="shared" si="150"/>
        <v>0</v>
      </c>
      <c r="Y166" s="91">
        <f t="shared" si="168"/>
        <v>-40.35794086561664</v>
      </c>
      <c r="Z166" s="90">
        <f>IF(P166-SUM(AB$5:AB166)+1&gt;0,IF(Podsumowanie!E$7&lt;B166,IF(SUM(AB$5:AB166)-Podsumowanie!E$9+1&gt;0,PMT(M166/12,P166+1-SUM(AB$5:AB166),N166),Y166),0),0)</f>
        <v>-555.9961752299868</v>
      </c>
      <c r="AA166" s="90">
        <f t="shared" si="172"/>
        <v>-515.6382343643701</v>
      </c>
      <c r="AB166" s="8">
        <f>IF(AND(Podsumowanie!E$7&lt;B166,SUM(AB$5:AB165)&lt;P165),1," ")</f>
        <v>1</v>
      </c>
      <c r="AD166" s="51">
        <f>IF(OR(B166&lt;Podsumowanie!E$12,Podsumowanie!E$12=""),-F166+S166,0)</f>
        <v>2280.2242700406355</v>
      </c>
      <c r="AE166" s="51">
        <f t="shared" si="151"/>
        <v>0</v>
      </c>
      <c r="AG166" s="10">
        <f>Podsumowanie!E$4-SUM(AI$5:AI165)+SUM(W$42:W166)-SUM(X$42:X166)</f>
        <v>133871.37813555225</v>
      </c>
      <c r="AH166" s="10">
        <f t="shared" si="120"/>
        <v>37.93</v>
      </c>
      <c r="AI166" s="10">
        <f t="shared" si="121"/>
        <v>505.18</v>
      </c>
      <c r="AJ166" s="10">
        <f t="shared" si="134"/>
        <v>543.11</v>
      </c>
      <c r="AK166" s="10">
        <f t="shared" si="165"/>
        <v>2227.38</v>
      </c>
      <c r="AL166" s="10">
        <f>Podsumowanie!E$2-SUM(AN$5:AN165)+SUM(R$42:R166)-SUM(S$42:S166)</f>
        <v>295264.3199999999</v>
      </c>
      <c r="AM166" s="10">
        <f t="shared" si="122"/>
        <v>83.66</v>
      </c>
      <c r="AN166" s="10">
        <f t="shared" si="123"/>
        <v>1114.2</v>
      </c>
      <c r="AO166" s="10">
        <f t="shared" si="124"/>
        <v>1197.8600000000001</v>
      </c>
      <c r="AP166" s="10">
        <f t="shared" si="125"/>
        <v>1029.52</v>
      </c>
      <c r="AR166" s="43">
        <f t="shared" si="166"/>
        <v>42156</v>
      </c>
      <c r="AS166" s="11">
        <f>AS$5+SUM(AV$5:AV165)-SUM(X$5:X166)+SUM(W$5:W166)</f>
        <v>138166.5975516993</v>
      </c>
      <c r="AT166" s="10">
        <f t="shared" si="126"/>
        <v>-39.147202639648135</v>
      </c>
      <c r="AU166" s="10">
        <f>IF(AB166=1,IF(Q166="tak",AT166,PMT(M166/12,P166+1-SUM(AB$5:AB166),AS166)),0)</f>
        <v>-539.316289973087</v>
      </c>
      <c r="AV166" s="10">
        <f t="shared" si="127"/>
        <v>-500.1690873334389</v>
      </c>
      <c r="AW166" s="10">
        <f t="shared" si="128"/>
        <v>-2147.3956717858405</v>
      </c>
      <c r="AY166" s="11">
        <f>AY$5+SUM(BA$5:BA165)+SUM(W$5:W165)-SUM(X$5:X165)</f>
        <v>129855.08719148568</v>
      </c>
      <c r="AZ166" s="11">
        <f t="shared" si="129"/>
        <v>-39.147202639648135</v>
      </c>
      <c r="BA166" s="11">
        <f t="shared" si="130"/>
        <v>-490.02</v>
      </c>
      <c r="BB166" s="11">
        <f t="shared" si="135"/>
        <v>-529.1672026396482</v>
      </c>
      <c r="BC166" s="11">
        <f t="shared" si="167"/>
        <v>-2106.985050750287</v>
      </c>
      <c r="BE166" s="172">
        <f t="shared" si="146"/>
        <v>0.017</v>
      </c>
      <c r="BF166" s="44">
        <f>BE166+Podsumowanie!$E$6</f>
        <v>0.029</v>
      </c>
      <c r="BG166" s="11">
        <f>BG$5+SUM(BH$5:BH165)+SUM(R$5:R165)-SUM(S$5:S165)</f>
        <v>346397.74181047163</v>
      </c>
      <c r="BH166" s="10">
        <f t="shared" si="137"/>
        <v>-929.7417538448842</v>
      </c>
      <c r="BI166" s="10">
        <f t="shared" si="132"/>
        <v>-837.1278760419732</v>
      </c>
      <c r="BJ166" s="10">
        <f>IF(U166&lt;0,PMT(BF166/12,Podsumowanie!E$8-SUM(AB$5:AB166)+1,BG166),0)</f>
        <v>-1766.8696298868574</v>
      </c>
      <c r="BL166" s="11">
        <f>BL$5+SUM(BN$5:BN165)+SUM(R$5:R165)-SUM(S$5:S165)</f>
        <v>295264.62395543157</v>
      </c>
      <c r="BM166" s="11">
        <f t="shared" si="140"/>
        <v>-713.5561745589597</v>
      </c>
      <c r="BN166" s="11">
        <f t="shared" si="141"/>
        <v>-1114.206128133704</v>
      </c>
      <c r="BO166" s="11">
        <f t="shared" si="142"/>
        <v>-1827.7623026926635</v>
      </c>
      <c r="BQ166" s="44">
        <f t="shared" si="147"/>
        <v>0.0291</v>
      </c>
      <c r="BR166" s="11">
        <f>BR$5+SUM(BS$5:BS165)+SUM(R$5:R165)-SUM(S$5:S165)+SUM(BV$5:BV165)</f>
        <v>375693.9301403294</v>
      </c>
      <c r="BS166" s="10">
        <f t="shared" si="157"/>
        <v>-1007.1449182658181</v>
      </c>
      <c r="BT166" s="10">
        <f t="shared" si="158"/>
        <v>-911.0577805902989</v>
      </c>
      <c r="BU166" s="10">
        <f>IF(U166&lt;0,PMT(BQ166/12,Podsumowanie!E$8-SUM(AB$5:AB166)+1,BR166),0)</f>
        <v>-1918.202698856117</v>
      </c>
      <c r="BV166" s="10">
        <f t="shared" si="152"/>
        <v>-362.0215711845185</v>
      </c>
      <c r="BX166" s="11">
        <f>BX$5+SUM(BZ$5:BZ165)+SUM(R$5:R165)-SUM(S$5:S165)+SUM(CB$5,CB165)</f>
        <v>294695.8521821819</v>
      </c>
      <c r="BY166" s="10">
        <f t="shared" si="148"/>
        <v>-714.6374415417912</v>
      </c>
      <c r="BZ166" s="10">
        <f t="shared" si="149"/>
        <v>-1112.0598195554035</v>
      </c>
      <c r="CA166" s="10">
        <f t="shared" si="159"/>
        <v>-1826.6972610971948</v>
      </c>
      <c r="CB166" s="10">
        <f t="shared" si="160"/>
        <v>-453.5270089434407</v>
      </c>
      <c r="CD166" s="10">
        <f>CD$5+SUM(CE$5:CE165)+SUM(R$5:R165)-SUM(S$5:S165)-SUM(CF$5:CF165)</f>
        <v>355641.73033575225</v>
      </c>
      <c r="CE166" s="10">
        <f t="shared" si="153"/>
        <v>714.6374415417912</v>
      </c>
      <c r="CF166" s="10">
        <f t="shared" si="154"/>
        <v>2280.2242700406355</v>
      </c>
      <c r="CG166" s="10">
        <f t="shared" si="155"/>
        <v>1565.5868284988442</v>
      </c>
      <c r="CI166" s="44">
        <v>0.467</v>
      </c>
      <c r="CJ166" s="10">
        <f t="shared" si="156"/>
        <v>-1064.86</v>
      </c>
      <c r="CK166" s="4">
        <f t="shared" si="161"/>
        <v>0</v>
      </c>
      <c r="CM166" s="10">
        <f t="shared" si="162"/>
        <v>-196040.91079915443</v>
      </c>
      <c r="CN166" s="4">
        <f t="shared" si="163"/>
        <v>-277.72462363213543</v>
      </c>
    </row>
    <row r="167" spans="1:92" ht="15.75">
      <c r="A167" s="36" t="s">
        <v>26</v>
      </c>
      <c r="B167" s="37">
        <v>42186</v>
      </c>
      <c r="C167" s="77">
        <f t="shared" si="144"/>
        <v>3.9627</v>
      </c>
      <c r="D167" s="78">
        <f>C167*(1+Podsumowanie!E$11)</f>
        <v>4.081581</v>
      </c>
      <c r="E167" s="34">
        <f t="shared" si="169"/>
        <v>-563.3279938145834</v>
      </c>
      <c r="F167" s="7">
        <f t="shared" si="170"/>
        <v>-2299.2688363217208</v>
      </c>
      <c r="G167" s="7">
        <f t="shared" si="118"/>
        <v>-1242.4683365655312</v>
      </c>
      <c r="H167" s="7">
        <f t="shared" si="171"/>
        <v>1056.8004997561895</v>
      </c>
      <c r="I167" s="32"/>
      <c r="J167" s="4" t="str">
        <f t="shared" si="164"/>
        <v xml:space="preserve"> </v>
      </c>
      <c r="K167" s="4">
        <f>IF(B167&lt;Podsumowanie!E$7,0,K166+1)</f>
        <v>97</v>
      </c>
      <c r="L167" s="100">
        <f t="shared" si="145"/>
        <v>-0.0074</v>
      </c>
      <c r="M167" s="38">
        <f>L167+Podsumowanie!E$6</f>
        <v>0.0046</v>
      </c>
      <c r="N167" s="101">
        <f>MAX(Podsumowanie!E$4+SUM(AA$5:AA166)-SUM(X$5:X167)+SUM(W$5:W167),0)</f>
        <v>141924.15305604727</v>
      </c>
      <c r="O167" s="102">
        <f>MAX(Podsumowanie!E$2+SUM(V$5:V166)-SUM(S$5:S167)+SUM(R$5:R167),0)</f>
        <v>313025.925042275</v>
      </c>
      <c r="P167" s="39">
        <f t="shared" si="133"/>
        <v>360</v>
      </c>
      <c r="Q167" s="40" t="str">
        <f>IF(AND(K167&gt;0,K167&lt;=Podsumowanie!E$9),"tak","nie")</f>
        <v>nie</v>
      </c>
      <c r="R167" s="41"/>
      <c r="S167" s="42"/>
      <c r="T167" s="88">
        <f t="shared" si="119"/>
        <v>-119.99327126620541</v>
      </c>
      <c r="U167" s="89">
        <f>IF(Q167="tak",T167,IF(P167-SUM(AB$5:AB167)+1&gt;0,IF(Podsumowanie!E$7&lt;B167,IF(SUM(AB$5:AB167)-Podsumowanie!E$9+1&gt;0,PMT(M167/12,P167+1-SUM(AB$5:AB167),O167),T167),0),0))</f>
        <v>-1242.4683365655312</v>
      </c>
      <c r="V167" s="89">
        <f t="shared" si="173"/>
        <v>-1122.4750652993257</v>
      </c>
      <c r="W167" s="90" t="str">
        <f>IF(R167&gt;0,R167/(C167*(1-Podsumowanie!E$11))," ")</f>
        <v xml:space="preserve"> </v>
      </c>
      <c r="X167" s="90">
        <f t="shared" si="150"/>
        <v>0</v>
      </c>
      <c r="Y167" s="91">
        <f t="shared" si="168"/>
        <v>-54.40425867148479</v>
      </c>
      <c r="Z167" s="90">
        <f>IF(P167-SUM(AB$5:AB167)+1&gt;0,IF(Podsumowanie!E$7&lt;B167,IF(SUM(AB$5:AB167)-Podsumowanie!E$9+1&gt;0,PMT(M167/12,P167+1-SUM(AB$5:AB167),N167),Y167),0),0)</f>
        <v>-563.3279938145834</v>
      </c>
      <c r="AA167" s="90">
        <f t="shared" si="172"/>
        <v>-508.92373514309855</v>
      </c>
      <c r="AB167" s="8">
        <f>IF(AND(Podsumowanie!E$7&lt;B167,SUM(AB$5:AB166)&lt;P166),1," ")</f>
        <v>1</v>
      </c>
      <c r="AD167" s="51">
        <f>IF(OR(B167&lt;Podsumowanie!E$12,Podsumowanie!E$12=""),-F167+S167,0)</f>
        <v>2299.2688363217208</v>
      </c>
      <c r="AE167" s="51">
        <f t="shared" si="151"/>
        <v>0</v>
      </c>
      <c r="AG167" s="10">
        <f>Podsumowanie!E$4-SUM(AI$5:AI166)+SUM(W$42:W167)-SUM(X$42:X167)</f>
        <v>133366.19813555223</v>
      </c>
      <c r="AH167" s="10">
        <f t="shared" si="120"/>
        <v>51.12</v>
      </c>
      <c r="AI167" s="10">
        <f t="shared" si="121"/>
        <v>505.17</v>
      </c>
      <c r="AJ167" s="10">
        <f t="shared" si="134"/>
        <v>556.29</v>
      </c>
      <c r="AK167" s="10">
        <f t="shared" si="165"/>
        <v>2270.54</v>
      </c>
      <c r="AL167" s="10">
        <f>Podsumowanie!E$2-SUM(AN$5:AN166)+SUM(R$42:R167)-SUM(S$42:S167)</f>
        <v>294150.1199999999</v>
      </c>
      <c r="AM167" s="10">
        <f t="shared" si="122"/>
        <v>112.76</v>
      </c>
      <c r="AN167" s="10">
        <f t="shared" si="123"/>
        <v>1114.21</v>
      </c>
      <c r="AO167" s="10">
        <f t="shared" si="124"/>
        <v>1226.97</v>
      </c>
      <c r="AP167" s="10">
        <f t="shared" si="125"/>
        <v>1043.57</v>
      </c>
      <c r="AR167" s="43">
        <f t="shared" si="166"/>
        <v>42186</v>
      </c>
      <c r="AS167" s="11">
        <f>AS$5+SUM(AV$5:AV166)-SUM(X$5:X167)+SUM(W$5:W167)</f>
        <v>137666.42846436586</v>
      </c>
      <c r="AT167" s="10">
        <f t="shared" si="126"/>
        <v>-52.77213091134024</v>
      </c>
      <c r="AU167" s="10">
        <f>IF(AB167=1,IF(Q167="tak",AT167,PMT(M167/12,P167+1-SUM(AB$5:AB167),AS167)),0)</f>
        <v>-546.4281540001458</v>
      </c>
      <c r="AV167" s="10">
        <f t="shared" si="127"/>
        <v>-493.65602308880557</v>
      </c>
      <c r="AW167" s="10">
        <f t="shared" si="128"/>
        <v>-2165.330845856378</v>
      </c>
      <c r="AY167" s="11">
        <f>AY$5+SUM(BA$5:BA166)+SUM(W$5:W166)-SUM(X$5:X166)</f>
        <v>129365.0671914857</v>
      </c>
      <c r="AZ167" s="11">
        <f t="shared" si="129"/>
        <v>-52.77213091134024</v>
      </c>
      <c r="BA167" s="11">
        <f t="shared" si="130"/>
        <v>-490.02</v>
      </c>
      <c r="BB167" s="11">
        <f t="shared" si="135"/>
        <v>-542.7921309113402</v>
      </c>
      <c r="BC167" s="11">
        <f t="shared" si="167"/>
        <v>-2150.922377162368</v>
      </c>
      <c r="BE167" s="172">
        <f t="shared" si="146"/>
        <v>0.0172</v>
      </c>
      <c r="BF167" s="44">
        <f>BE167+Podsumowanie!$E$6</f>
        <v>0.0292</v>
      </c>
      <c r="BG167" s="11">
        <f>BG$5+SUM(BH$5:BH166)+SUM(R$5:R166)-SUM(S$5:S166)</f>
        <v>345468.0000566268</v>
      </c>
      <c r="BH167" s="10">
        <f t="shared" si="137"/>
        <v>-929.7278219433216</v>
      </c>
      <c r="BI167" s="10">
        <f t="shared" si="132"/>
        <v>-840.6388001377919</v>
      </c>
      <c r="BJ167" s="10">
        <f>IF(U167&lt;0,PMT(BF167/12,Podsumowanie!E$8-SUM(AB$5:AB167)+1,BG167),0)</f>
        <v>-1770.3666220811135</v>
      </c>
      <c r="BL167" s="11">
        <f>BL$5+SUM(BN$5:BN166)+SUM(R$5:R166)-SUM(S$5:S166)</f>
        <v>294150.4178272979</v>
      </c>
      <c r="BM167" s="11">
        <f t="shared" si="140"/>
        <v>-715.7660167130915</v>
      </c>
      <c r="BN167" s="11">
        <f t="shared" si="141"/>
        <v>-1114.2061281337042</v>
      </c>
      <c r="BO167" s="11">
        <f t="shared" si="142"/>
        <v>-1829.9721448467958</v>
      </c>
      <c r="BQ167" s="44">
        <f t="shared" si="147"/>
        <v>0.0293</v>
      </c>
      <c r="BR167" s="11">
        <f>BR$5+SUM(BS$5:BS166)+SUM(R$5:R166)-SUM(S$5:S166)+SUM(BV$5:BV166)</f>
        <v>374324.7636508791</v>
      </c>
      <c r="BS167" s="10">
        <f t="shared" si="157"/>
        <v>-1006.1643272782801</v>
      </c>
      <c r="BT167" s="10">
        <f t="shared" si="158"/>
        <v>-913.9762979142297</v>
      </c>
      <c r="BU167" s="10">
        <f>IF(U167&lt;0,PMT(BQ167/12,Podsumowanie!E$8-SUM(AB$5:AB167)+1,BR167),0)</f>
        <v>-1920.1406251925098</v>
      </c>
      <c r="BV167" s="10">
        <f t="shared" si="152"/>
        <v>-379.12821112921097</v>
      </c>
      <c r="BX167" s="11">
        <f>BX$5+SUM(BZ$5:BZ166)+SUM(R$5:R166)-SUM(S$5:S166)+SUM(CB$5,CB166)</f>
        <v>293553.65938844887</v>
      </c>
      <c r="BY167" s="10">
        <f t="shared" si="148"/>
        <v>-716.760185006796</v>
      </c>
      <c r="BZ167" s="10">
        <f t="shared" si="149"/>
        <v>-1111.9456795017002</v>
      </c>
      <c r="CA167" s="10">
        <f t="shared" si="159"/>
        <v>-1828.7058645084962</v>
      </c>
      <c r="CB167" s="10">
        <f t="shared" si="160"/>
        <v>-470.5629718132245</v>
      </c>
      <c r="CD167" s="10">
        <f>CD$5+SUM(CE$5:CE166)+SUM(R$5:R166)-SUM(S$5:S166)-SUM(CF$5:CF166)</f>
        <v>354076.1435072534</v>
      </c>
      <c r="CE167" s="10">
        <f t="shared" si="153"/>
        <v>716.760185006796</v>
      </c>
      <c r="CF167" s="10">
        <f t="shared" si="154"/>
        <v>2299.2688363217208</v>
      </c>
      <c r="CG167" s="10">
        <f t="shared" si="155"/>
        <v>1582.508651314925</v>
      </c>
      <c r="CI167" s="44">
        <v>0.467</v>
      </c>
      <c r="CJ167" s="10">
        <f t="shared" si="156"/>
        <v>-1073.76</v>
      </c>
      <c r="CK167" s="4">
        <f t="shared" si="161"/>
        <v>0</v>
      </c>
      <c r="CM167" s="10">
        <f t="shared" si="162"/>
        <v>-198340.17963547615</v>
      </c>
      <c r="CN167" s="4">
        <f t="shared" si="163"/>
        <v>-284.28759081084917</v>
      </c>
    </row>
    <row r="168" spans="1:92" ht="15.75">
      <c r="A168" s="36"/>
      <c r="B168" s="37">
        <v>42217</v>
      </c>
      <c r="C168" s="77">
        <f t="shared" si="144"/>
        <v>3.8929</v>
      </c>
      <c r="D168" s="78">
        <f>C168*(1+Podsumowanie!E$11)</f>
        <v>4.0096870000000004</v>
      </c>
      <c r="E168" s="34">
        <f t="shared" si="169"/>
        <v>-563.3279938145834</v>
      </c>
      <c r="F168" s="7">
        <f t="shared" si="170"/>
        <v>-2258.7689335344157</v>
      </c>
      <c r="G168" s="7">
        <f aca="true" t="shared" si="174" ref="G168:G176">U168</f>
        <v>-1242.4683365655312</v>
      </c>
      <c r="H168" s="7">
        <f t="shared" si="171"/>
        <v>1016.3005969688845</v>
      </c>
      <c r="I168" s="32"/>
      <c r="J168" s="4" t="str">
        <f t="shared" si="164"/>
        <v xml:space="preserve"> </v>
      </c>
      <c r="K168" s="4">
        <f>IF(B168&lt;Podsumowanie!E$7,0,K167+1)</f>
        <v>98</v>
      </c>
      <c r="L168" s="100">
        <f t="shared" si="145"/>
        <v>-0.0074</v>
      </c>
      <c r="M168" s="38">
        <f>L168+Podsumowanie!E$6</f>
        <v>0.0046</v>
      </c>
      <c r="N168" s="101">
        <f>MAX(Podsumowanie!E$4+SUM(AA$5:AA167)-SUM(X$5:X168)+SUM(W$5:W168),0)</f>
        <v>141415.22932090418</v>
      </c>
      <c r="O168" s="102">
        <f>MAX(Podsumowanie!E$2+SUM(V$5:V167)-SUM(S$5:S168)+SUM(R$5:R168),0)</f>
        <v>311903.4499769757</v>
      </c>
      <c r="P168" s="39">
        <f t="shared" si="133"/>
        <v>360</v>
      </c>
      <c r="Q168" s="40" t="str">
        <f>IF(AND(K168&gt;0,K168&lt;=Podsumowanie!E$9),"tak","nie")</f>
        <v>nie</v>
      </c>
      <c r="R168" s="41"/>
      <c r="S168" s="42"/>
      <c r="T168" s="88">
        <f t="shared" si="119"/>
        <v>-119.56298915784068</v>
      </c>
      <c r="U168" s="89">
        <f>IF(Q168="tak",T168,IF(P168-SUM(AB$5:AB168)+1&gt;0,IF(Podsumowanie!E$7&lt;B168,IF(SUM(AB$5:AB168)-Podsumowanie!E$9+1&gt;0,PMT(M168/12,P168+1-SUM(AB$5:AB168),O168),T168),0),0))</f>
        <v>-1242.4683365655312</v>
      </c>
      <c r="V168" s="89">
        <f t="shared" si="173"/>
        <v>-1122.9053474076904</v>
      </c>
      <c r="W168" s="90" t="str">
        <f>IF(R168&gt;0,R168/(C168*(1-Podsumowanie!E$11))," ")</f>
        <v xml:space="preserve"> </v>
      </c>
      <c r="X168" s="90">
        <f t="shared" si="150"/>
        <v>0</v>
      </c>
      <c r="Y168" s="91">
        <f t="shared" si="168"/>
        <v>-54.20917123967993</v>
      </c>
      <c r="Z168" s="90">
        <f>IF(P168-SUM(AB$5:AB168)+1&gt;0,IF(Podsumowanie!E$7&lt;B168,IF(SUM(AB$5:AB168)-Podsumowanie!E$9+1&gt;0,PMT(M168/12,P168+1-SUM(AB$5:AB168),N168),Y168),0),0)</f>
        <v>-563.3279938145834</v>
      </c>
      <c r="AA168" s="90">
        <f t="shared" si="172"/>
        <v>-509.11882257490345</v>
      </c>
      <c r="AB168" s="8">
        <f>IF(AND(Podsumowanie!E$7&lt;B168,SUM(AB$5:AB167)&lt;P167),1," ")</f>
        <v>1</v>
      </c>
      <c r="AD168" s="51">
        <f>IF(OR(B168&lt;Podsumowanie!E$12,Podsumowanie!E$12=""),-F168+S168,0)</f>
        <v>2258.7689335344157</v>
      </c>
      <c r="AE168" s="51">
        <f t="shared" si="151"/>
        <v>0</v>
      </c>
      <c r="AG168" s="10">
        <f>Podsumowanie!E$4-SUM(AI$5:AI167)+SUM(W$42:W168)-SUM(X$42:X168)</f>
        <v>132861.02813555225</v>
      </c>
      <c r="AH168" s="10">
        <f t="shared" si="120"/>
        <v>50.93</v>
      </c>
      <c r="AI168" s="10">
        <f t="shared" si="121"/>
        <v>505.18</v>
      </c>
      <c r="AJ168" s="10">
        <f t="shared" si="134"/>
        <v>556.11</v>
      </c>
      <c r="AK168" s="10">
        <f t="shared" si="165"/>
        <v>2229.83</v>
      </c>
      <c r="AL168" s="10">
        <f>Podsumowanie!E$2-SUM(AN$5:AN167)+SUM(R$42:R168)-SUM(S$42:S168)</f>
        <v>293035.90999999986</v>
      </c>
      <c r="AM168" s="10">
        <f t="shared" si="122"/>
        <v>112.33</v>
      </c>
      <c r="AN168" s="10">
        <f t="shared" si="123"/>
        <v>1114.2</v>
      </c>
      <c r="AO168" s="10">
        <f t="shared" si="124"/>
        <v>1226.53</v>
      </c>
      <c r="AP168" s="10">
        <f t="shared" si="125"/>
        <v>1003.3</v>
      </c>
      <c r="AR168" s="43">
        <f t="shared" si="166"/>
        <v>42217</v>
      </c>
      <c r="AS168" s="11">
        <f>AS$5+SUM(AV$5:AV167)-SUM(X$5:X168)+SUM(W$5:W168)</f>
        <v>137172.77244127705</v>
      </c>
      <c r="AT168" s="10">
        <f t="shared" si="126"/>
        <v>-52.582896102489535</v>
      </c>
      <c r="AU168" s="10">
        <f>IF(AB168=1,IF(Q168="tak",AT168,PMT(M168/12,P168+1-SUM(AB$5:AB168),AS168)),0)</f>
        <v>-546.4281540001458</v>
      </c>
      <c r="AV168" s="10">
        <f t="shared" si="127"/>
        <v>-493.84525789765627</v>
      </c>
      <c r="AW168" s="10">
        <f t="shared" si="128"/>
        <v>-2127.1901607071677</v>
      </c>
      <c r="AY168" s="11">
        <f>AY$5+SUM(BA$5:BA167)+SUM(W$5:W167)-SUM(X$5:X167)</f>
        <v>128875.0471914857</v>
      </c>
      <c r="AZ168" s="11">
        <f t="shared" si="129"/>
        <v>-52.582896102489535</v>
      </c>
      <c r="BA168" s="11">
        <f t="shared" si="130"/>
        <v>-490.02</v>
      </c>
      <c r="BB168" s="11">
        <f t="shared" si="135"/>
        <v>-542.6028961024895</v>
      </c>
      <c r="BC168" s="11">
        <f t="shared" si="167"/>
        <v>-2112.298814237381</v>
      </c>
      <c r="BE168" s="172">
        <f t="shared" si="146"/>
        <v>0.0172</v>
      </c>
      <c r="BF168" s="44">
        <f>BE168+Podsumowanie!$E$6</f>
        <v>0.0292</v>
      </c>
      <c r="BG168" s="11">
        <f>BG$5+SUM(BH$5:BH167)+SUM(R$5:R167)-SUM(S$5:S167)</f>
        <v>344538.27223468345</v>
      </c>
      <c r="BH168" s="10">
        <f t="shared" si="137"/>
        <v>-931.9901596433843</v>
      </c>
      <c r="BI168" s="10">
        <f t="shared" si="132"/>
        <v>-838.3764624377296</v>
      </c>
      <c r="BJ168" s="10">
        <f>IF(U168&lt;0,PMT(BF168/12,Podsumowanie!E$8-SUM(AB$5:AB168)+1,BG168),0)</f>
        <v>-1770.366622081114</v>
      </c>
      <c r="BL168" s="11">
        <f>BL$5+SUM(BN$5:BN167)+SUM(R$5:R167)-SUM(S$5:S167)</f>
        <v>293036.2116991642</v>
      </c>
      <c r="BM168" s="11">
        <f t="shared" si="140"/>
        <v>-713.0547818012996</v>
      </c>
      <c r="BN168" s="11">
        <f t="shared" si="141"/>
        <v>-1114.2061281337042</v>
      </c>
      <c r="BO168" s="11">
        <f t="shared" si="142"/>
        <v>-1827.2609099350038</v>
      </c>
      <c r="BQ168" s="44">
        <f t="shared" si="147"/>
        <v>0.0293</v>
      </c>
      <c r="BR168" s="11">
        <f>BR$5+SUM(BS$5:BS167)+SUM(R$5:R167)-SUM(S$5:S167)+SUM(BV$5:BV167)</f>
        <v>372939.4711124716</v>
      </c>
      <c r="BS168" s="10">
        <f t="shared" si="157"/>
        <v>-1007.5967278964926</v>
      </c>
      <c r="BT168" s="10">
        <f t="shared" si="158"/>
        <v>-910.5938752996182</v>
      </c>
      <c r="BU168" s="10">
        <f>IF(U168&lt;0,PMT(BQ168/12,Podsumowanie!E$8-SUM(AB$5:AB168)+1,BR168),0)</f>
        <v>-1918.1906031961107</v>
      </c>
      <c r="BV168" s="10">
        <f t="shared" si="152"/>
        <v>-340.578330338305</v>
      </c>
      <c r="BX168" s="11">
        <f>BX$5+SUM(BZ$5:BZ167)+SUM(R$5:R167)-SUM(S$5:S167)+SUM(CB$5,CB167)</f>
        <v>292424.6777460774</v>
      </c>
      <c r="BY168" s="10">
        <f t="shared" si="148"/>
        <v>-714.003588163339</v>
      </c>
      <c r="BZ168" s="10">
        <f t="shared" si="149"/>
        <v>-1111.8809039774808</v>
      </c>
      <c r="CA168" s="10">
        <f t="shared" si="159"/>
        <v>-1825.88449214082</v>
      </c>
      <c r="CB168" s="10">
        <f t="shared" si="160"/>
        <v>-432.8844413935958</v>
      </c>
      <c r="CD168" s="10">
        <f>CD$5+SUM(CE$5:CE167)+SUM(R$5:R167)-SUM(S$5:S167)-SUM(CF$5:CF167)</f>
        <v>352493.63485593855</v>
      </c>
      <c r="CE168" s="10">
        <f t="shared" si="153"/>
        <v>714.003588163339</v>
      </c>
      <c r="CF168" s="10">
        <f t="shared" si="154"/>
        <v>2258.7689335344157</v>
      </c>
      <c r="CG168" s="10">
        <f t="shared" si="155"/>
        <v>1544.7653453710768</v>
      </c>
      <c r="CI168" s="44">
        <v>0.4685</v>
      </c>
      <c r="CJ168" s="10">
        <f t="shared" si="156"/>
        <v>-1058.23</v>
      </c>
      <c r="CK168" s="4">
        <f t="shared" si="161"/>
        <v>0</v>
      </c>
      <c r="CM168" s="10">
        <f t="shared" si="162"/>
        <v>-200598.94856901056</v>
      </c>
      <c r="CN168" s="4">
        <f t="shared" si="163"/>
        <v>-287.5251596155818</v>
      </c>
    </row>
    <row r="169" spans="1:92" ht="15.75">
      <c r="A169" s="36"/>
      <c r="B169" s="37">
        <v>42248</v>
      </c>
      <c r="C169" s="77">
        <f t="shared" si="144"/>
        <v>3.8605</v>
      </c>
      <c r="D169" s="78">
        <f>C169*(1+Podsumowanie!E$11)</f>
        <v>3.976315</v>
      </c>
      <c r="E169" s="34">
        <f t="shared" si="169"/>
        <v>-563.3279938145832</v>
      </c>
      <c r="F169" s="7">
        <f t="shared" si="170"/>
        <v>-2239.9695517248347</v>
      </c>
      <c r="G169" s="7">
        <f t="shared" si="174"/>
        <v>-1242.468336565531</v>
      </c>
      <c r="H169" s="7">
        <f t="shared" si="171"/>
        <v>997.5012151593037</v>
      </c>
      <c r="I169" s="32"/>
      <c r="J169" s="4" t="str">
        <f t="shared" si="164"/>
        <v xml:space="preserve"> </v>
      </c>
      <c r="K169" s="4">
        <f>IF(B169&lt;Podsumowanie!E$7,0,K168+1)</f>
        <v>99</v>
      </c>
      <c r="L169" s="100">
        <f t="shared" si="145"/>
        <v>-0.0074</v>
      </c>
      <c r="M169" s="38">
        <f>L169+Podsumowanie!E$6</f>
        <v>0.0046</v>
      </c>
      <c r="N169" s="101">
        <f>MAX(Podsumowanie!E$4+SUM(AA$5:AA168)-SUM(X$5:X169)+SUM(W$5:W169),0)</f>
        <v>140906.11049832928</v>
      </c>
      <c r="O169" s="102">
        <f>MAX(Podsumowanie!E$2+SUM(V$5:V168)-SUM(S$5:S169)+SUM(R$5:R169),0)</f>
        <v>310780.544629568</v>
      </c>
      <c r="P169" s="39">
        <f t="shared" si="133"/>
        <v>360</v>
      </c>
      <c r="Q169" s="40" t="str">
        <f>IF(AND(K169&gt;0,K169&lt;=Podsumowanie!E$9),"tak","nie")</f>
        <v>nie</v>
      </c>
      <c r="R169" s="41"/>
      <c r="S169" s="42"/>
      <c r="T169" s="88">
        <f t="shared" si="119"/>
        <v>-119.13254210800106</v>
      </c>
      <c r="U169" s="89">
        <f>IF(Q169="tak",T169,IF(P169-SUM(AB$5:AB169)+1&gt;0,IF(Podsumowanie!E$7&lt;B169,IF(SUM(AB$5:AB169)-Podsumowanie!E$9+1&gt;0,PMT(M169/12,P169+1-SUM(AB$5:AB169),O169),T169),0),0))</f>
        <v>-1242.468336565531</v>
      </c>
      <c r="V169" s="89">
        <f t="shared" si="173"/>
        <v>-1123.33579445753</v>
      </c>
      <c r="W169" s="90" t="str">
        <f>IF(R169&gt;0,R169/(C169*(1-Podsumowanie!E$11))," ")</f>
        <v xml:space="preserve"> </v>
      </c>
      <c r="X169" s="90">
        <f t="shared" si="150"/>
        <v>0</v>
      </c>
      <c r="Y169" s="91">
        <f t="shared" si="168"/>
        <v>-54.01400902435955</v>
      </c>
      <c r="Z169" s="90">
        <f>IF(P169-SUM(AB$5:AB169)+1&gt;0,IF(Podsumowanie!E$7&lt;B169,IF(SUM(AB$5:AB169)-Podsumowanie!E$9+1&gt;0,PMT(M169/12,P169+1-SUM(AB$5:AB169),N169),Y169),0),0)</f>
        <v>-563.3279938145832</v>
      </c>
      <c r="AA169" s="90">
        <f t="shared" si="172"/>
        <v>-509.3139847902237</v>
      </c>
      <c r="AB169" s="8">
        <f>IF(AND(Podsumowanie!E$7&lt;B169,SUM(AB$5:AB168)&lt;P168),1," ")</f>
        <v>1</v>
      </c>
      <c r="AD169" s="51">
        <f>IF(OR(B169&lt;Podsumowanie!E$12,Podsumowanie!E$12=""),-F169+S169,0)</f>
        <v>2239.9695517248347</v>
      </c>
      <c r="AE169" s="51">
        <f t="shared" si="151"/>
        <v>0</v>
      </c>
      <c r="AG169" s="10">
        <f>Podsumowanie!E$4-SUM(AI$5:AI168)+SUM(W$42:W169)-SUM(X$42:X169)</f>
        <v>132355.84813555225</v>
      </c>
      <c r="AH169" s="10">
        <f t="shared" si="120"/>
        <v>50.74</v>
      </c>
      <c r="AI169" s="10">
        <f t="shared" si="121"/>
        <v>505.17</v>
      </c>
      <c r="AJ169" s="10">
        <f t="shared" si="134"/>
        <v>555.91</v>
      </c>
      <c r="AK169" s="10">
        <f aca="true" t="shared" si="175" ref="AK169:AK200">ROUND(AJ169*D169,2)</f>
        <v>2210.47</v>
      </c>
      <c r="AL169" s="10">
        <f>Podsumowanie!E$2-SUM(AN$5:AN168)+SUM(R$42:R169)-SUM(S$42:S169)</f>
        <v>291921.70999999985</v>
      </c>
      <c r="AM169" s="10">
        <f t="shared" si="122"/>
        <v>111.9</v>
      </c>
      <c r="AN169" s="10">
        <f t="shared" si="123"/>
        <v>1114.21</v>
      </c>
      <c r="AO169" s="10">
        <f t="shared" si="124"/>
        <v>1226.1100000000001</v>
      </c>
      <c r="AP169" s="10">
        <f t="shared" si="125"/>
        <v>984.3599999999997</v>
      </c>
      <c r="AR169" s="43">
        <f aca="true" t="shared" si="176" ref="AR169:AR200">B169</f>
        <v>42248</v>
      </c>
      <c r="AS169" s="11">
        <f>AS$5+SUM(AV$5:AV168)-SUM(X$5:X169)+SUM(W$5:W169)</f>
        <v>136678.9271833794</v>
      </c>
      <c r="AT169" s="10">
        <f t="shared" si="126"/>
        <v>-52.39358875362876</v>
      </c>
      <c r="AU169" s="10">
        <f>IF(AB169=1,IF(Q169="tak",AT169,PMT(M169/12,P169+1-SUM(AB$5:AB169),AS169)),0)</f>
        <v>-546.4281540001457</v>
      </c>
      <c r="AV169" s="10">
        <f t="shared" si="127"/>
        <v>-494.03456524651693</v>
      </c>
      <c r="AW169" s="10">
        <f t="shared" si="128"/>
        <v>-2109.4858885175627</v>
      </c>
      <c r="AY169" s="11">
        <f>AY$5+SUM(BA$5:BA168)+SUM(W$5:W168)-SUM(X$5:X168)</f>
        <v>128385.0271914857</v>
      </c>
      <c r="AZ169" s="11">
        <f t="shared" si="129"/>
        <v>-52.39358875362876</v>
      </c>
      <c r="BA169" s="11">
        <f t="shared" si="130"/>
        <v>-490.02</v>
      </c>
      <c r="BB169" s="11">
        <f t="shared" si="135"/>
        <v>-542.4135887536288</v>
      </c>
      <c r="BC169" s="11">
        <f aca="true" t="shared" si="177" ref="BC169:BC200">BB169*C169</f>
        <v>-2093.987659383384</v>
      </c>
      <c r="BE169" s="172">
        <f t="shared" si="146"/>
        <v>0.0172</v>
      </c>
      <c r="BF169" s="44">
        <f>BE169+Podsumowanie!$E$6</f>
        <v>0.0292</v>
      </c>
      <c r="BG169" s="11">
        <f>BG$5+SUM(BH$5:BH168)+SUM(R$5:R168)-SUM(S$5:S168)</f>
        <v>343606.28207504004</v>
      </c>
      <c r="BH169" s="10">
        <f t="shared" si="137"/>
        <v>-934.2580023651825</v>
      </c>
      <c r="BI169" s="10">
        <f t="shared" si="132"/>
        <v>-836.1086197159308</v>
      </c>
      <c r="BJ169" s="10">
        <f>IF(U169&lt;0,PMT(BF169/12,Podsumowanie!E$8-SUM(AB$5:AB169)+1,BG169),0)</f>
        <v>-1770.3666220811133</v>
      </c>
      <c r="BL169" s="11">
        <f>BL$5+SUM(BN$5:BN168)+SUM(R$5:R168)-SUM(S$5:S168)</f>
        <v>291922.00557103043</v>
      </c>
      <c r="BM169" s="11">
        <f t="shared" si="140"/>
        <v>-710.3435468895074</v>
      </c>
      <c r="BN169" s="11">
        <f t="shared" si="141"/>
        <v>-1114.206128133704</v>
      </c>
      <c r="BO169" s="11">
        <f t="shared" si="142"/>
        <v>-1824.5496750232114</v>
      </c>
      <c r="BQ169" s="44">
        <f t="shared" si="147"/>
        <v>0.0293</v>
      </c>
      <c r="BR169" s="11">
        <f>BR$5+SUM(BS$5:BS168)+SUM(R$5:R168)-SUM(S$5:S168)+SUM(BV$5:BV168)</f>
        <v>371591.2960542368</v>
      </c>
      <c r="BS169" s="10">
        <f t="shared" si="157"/>
        <v>-1009.1320332475965</v>
      </c>
      <c r="BT169" s="10">
        <f t="shared" si="158"/>
        <v>-907.3020811990949</v>
      </c>
      <c r="BU169" s="10">
        <f>IF(U169&lt;0,PMT(BQ169/12,Podsumowanie!E$8-SUM(AB$5:AB169)+1,BR169),0)</f>
        <v>-1916.4341144466914</v>
      </c>
      <c r="BV169" s="10">
        <f t="shared" si="152"/>
        <v>-323.53543727814326</v>
      </c>
      <c r="BX169" s="11">
        <f>BX$5+SUM(BZ$5:BZ168)+SUM(R$5:R168)-SUM(S$5:S168)+SUM(CB$5,CB168)</f>
        <v>291350.4753725195</v>
      </c>
      <c r="BY169" s="10">
        <f t="shared" si="148"/>
        <v>-711.3807440345685</v>
      </c>
      <c r="BZ169" s="10">
        <f t="shared" si="149"/>
        <v>-1112.0247151622882</v>
      </c>
      <c r="CA169" s="10">
        <f t="shared" si="159"/>
        <v>-1823.4054591968566</v>
      </c>
      <c r="CB169" s="10">
        <f t="shared" si="160"/>
        <v>-416.5640925279781</v>
      </c>
      <c r="CD169" s="10">
        <f>CD$5+SUM(CE$5:CE168)+SUM(R$5:R168)-SUM(S$5:S168)-SUM(CF$5:CF168)</f>
        <v>350948.8695105674</v>
      </c>
      <c r="CE169" s="10">
        <f t="shared" si="153"/>
        <v>711.3807440345685</v>
      </c>
      <c r="CF169" s="10">
        <f t="shared" si="154"/>
        <v>2239.9695517248347</v>
      </c>
      <c r="CG169" s="10">
        <f t="shared" si="155"/>
        <v>1528.588807690266</v>
      </c>
      <c r="CI169" s="44">
        <v>0.4744</v>
      </c>
      <c r="CJ169" s="10">
        <f t="shared" si="156"/>
        <v>-1062.64</v>
      </c>
      <c r="CK169" s="4">
        <f t="shared" si="161"/>
        <v>0</v>
      </c>
      <c r="CM169" s="10">
        <f t="shared" si="162"/>
        <v>-202838.9181207354</v>
      </c>
      <c r="CN169" s="4">
        <f t="shared" si="163"/>
        <v>-290.73578263972075</v>
      </c>
    </row>
    <row r="170" spans="1:92" ht="15.75">
      <c r="A170" s="36"/>
      <c r="B170" s="37">
        <v>42278</v>
      </c>
      <c r="C170" s="77">
        <f t="shared" si="144"/>
        <v>3.9055</v>
      </c>
      <c r="D170" s="78">
        <f>C170*(1+Podsumowanie!E$11)</f>
        <v>4.022665</v>
      </c>
      <c r="E170" s="34">
        <f t="shared" si="169"/>
        <v>-563.3279938145834</v>
      </c>
      <c r="F170" s="7">
        <f t="shared" si="170"/>
        <v>-2266.0798042381407</v>
      </c>
      <c r="G170" s="7">
        <f t="shared" si="174"/>
        <v>-1242.4683365655314</v>
      </c>
      <c r="H170" s="7">
        <f t="shared" si="171"/>
        <v>1023.6114676726093</v>
      </c>
      <c r="I170" s="32"/>
      <c r="J170" s="4" t="str">
        <f t="shared" si="164"/>
        <v xml:space="preserve"> </v>
      </c>
      <c r="K170" s="4">
        <f>IF(B170&lt;Podsumowanie!E$7,0,K169+1)</f>
        <v>100</v>
      </c>
      <c r="L170" s="100">
        <f t="shared" si="145"/>
        <v>-0.0074</v>
      </c>
      <c r="M170" s="38">
        <f>L170+Podsumowanie!E$6</f>
        <v>0.0046</v>
      </c>
      <c r="N170" s="101">
        <f>MAX(Podsumowanie!E$4+SUM(AA$5:AA169)-SUM(X$5:X170)+SUM(W$5:W170),0)</f>
        <v>140396.79651353904</v>
      </c>
      <c r="O170" s="102">
        <f>MAX(Podsumowanie!E$2+SUM(V$5:V169)-SUM(S$5:S170)+SUM(R$5:R170),0)</f>
        <v>309657.2088351105</v>
      </c>
      <c r="P170" s="39">
        <f t="shared" si="133"/>
        <v>360</v>
      </c>
      <c r="Q170" s="40" t="str">
        <f>IF(AND(K170&gt;0,K170&lt;=Podsumowanie!E$9),"tak","nie")</f>
        <v>nie</v>
      </c>
      <c r="R170" s="41"/>
      <c r="S170" s="42"/>
      <c r="T170" s="88">
        <f aca="true" t="shared" si="178" ref="T170:T181">IF(AB170=1,-O170*M170/12,0)</f>
        <v>-118.70193005345902</v>
      </c>
      <c r="U170" s="89">
        <f>IF(Q170="tak",T170,IF(P170-SUM(AB$5:AB170)+1&gt;0,IF(Podsumowanie!E$7&lt;B170,IF(SUM(AB$5:AB170)-Podsumowanie!E$9+1&gt;0,PMT(M170/12,P170+1-SUM(AB$5:AB170),O170),T170),0),0))</f>
        <v>-1242.4683365655314</v>
      </c>
      <c r="V170" s="89">
        <f t="shared" si="173"/>
        <v>-1123.7664065120725</v>
      </c>
      <c r="W170" s="90" t="str">
        <f>IF(R170&gt;0,R170/(C170*(1-Podsumowanie!E$11))," ")</f>
        <v xml:space="preserve"> </v>
      </c>
      <c r="X170" s="90">
        <f t="shared" si="150"/>
        <v>0</v>
      </c>
      <c r="Y170" s="91">
        <f t="shared" si="168"/>
        <v>-53.81877199685663</v>
      </c>
      <c r="Z170" s="90">
        <f>IF(P170-SUM(AB$5:AB170)+1&gt;0,IF(Podsumowanie!E$7&lt;B170,IF(SUM(AB$5:AB170)-Podsumowanie!E$9+1&gt;0,PMT(M170/12,P170+1-SUM(AB$5:AB170),N170),Y170),0),0)</f>
        <v>-563.3279938145834</v>
      </c>
      <c r="AA170" s="90">
        <f t="shared" si="172"/>
        <v>-509.5092218177267</v>
      </c>
      <c r="AB170" s="8">
        <f>IF(AND(Podsumowanie!E$7&lt;B170,SUM(AB$5:AB169)&lt;P169),1," ")</f>
        <v>1</v>
      </c>
      <c r="AD170" s="51">
        <f>IF(OR(B170&lt;Podsumowanie!E$12,Podsumowanie!E$12=""),-F170+S170,0)</f>
        <v>2266.0798042381407</v>
      </c>
      <c r="AE170" s="51">
        <f t="shared" si="151"/>
        <v>0</v>
      </c>
      <c r="AG170" s="10">
        <f>Podsumowanie!E$4-SUM(AI$5:AI169)+SUM(W$42:W170)-SUM(X$42:X170)</f>
        <v>131850.67813555224</v>
      </c>
      <c r="AH170" s="10">
        <f aca="true" t="shared" si="179" ref="AH170:AH181">IF(AB170=1,ROUND(AG170*M170/12,2),0)</f>
        <v>50.54</v>
      </c>
      <c r="AI170" s="10">
        <f aca="true" t="shared" si="180" ref="AI170:AI181">IF(Q170="tak",0,IF(AB170=1,ROUND(AG170/(P170-K170+1),2),0))</f>
        <v>505.18</v>
      </c>
      <c r="AJ170" s="10">
        <f t="shared" si="134"/>
        <v>555.72</v>
      </c>
      <c r="AK170" s="10">
        <f t="shared" si="175"/>
        <v>2235.48</v>
      </c>
      <c r="AL170" s="10">
        <f>Podsumowanie!E$2-SUM(AN$5:AN169)+SUM(R$42:R170)-SUM(S$42:S170)</f>
        <v>290807.4999999999</v>
      </c>
      <c r="AM170" s="10">
        <f aca="true" t="shared" si="181" ref="AM170:AM181">IF(AB170=1,ROUND(AL170*M170/12,2),0)</f>
        <v>111.48</v>
      </c>
      <c r="AN170" s="10">
        <f aca="true" t="shared" si="182" ref="AN170:AN181">IF(Q170="tak",0,IF(AB170=1,ROUND(AL170/(P170-K170+1),2),0))</f>
        <v>1114.2</v>
      </c>
      <c r="AO170" s="10">
        <f aca="true" t="shared" si="183" ref="AO170:AO176">AN170+AM170</f>
        <v>1225.68</v>
      </c>
      <c r="AP170" s="10">
        <f aca="true" t="shared" si="184" ref="AP170:AP176">AK170-AO170</f>
        <v>1009.8</v>
      </c>
      <c r="AR170" s="43">
        <f t="shared" si="176"/>
        <v>42278</v>
      </c>
      <c r="AS170" s="11">
        <f>AS$5+SUM(AV$5:AV169)-SUM(X$5:X170)+SUM(W$5:W170)</f>
        <v>136184.89261813287</v>
      </c>
      <c r="AT170" s="10">
        <f aca="true" t="shared" si="185" ref="AT170:AT181">IF(AB170=1,-AS170*M170/12,0)</f>
        <v>-52.20420883695093</v>
      </c>
      <c r="AU170" s="10">
        <f>IF(AB170=1,IF(Q170="tak",AT170,PMT(M170/12,P170+1-SUM(AB$5:AB170),AS170)),0)</f>
        <v>-546.4281540001458</v>
      </c>
      <c r="AV170" s="10">
        <f aca="true" t="shared" si="186" ref="AV170:AV202">AU170-AT170</f>
        <v>-494.22394516319486</v>
      </c>
      <c r="AW170" s="10">
        <f aca="true" t="shared" si="187" ref="AW170:AW228">AU170*C170</f>
        <v>-2134.0751554475696</v>
      </c>
      <c r="AY170" s="11">
        <f>AY$5+SUM(BA$5:BA169)+SUM(W$5:W169)-SUM(X$5:X169)</f>
        <v>127895.0071914857</v>
      </c>
      <c r="AZ170" s="11">
        <f aca="true" t="shared" si="188" ref="AZ170:AZ181">IF(AB170=1,-AS170*M170/12,0)</f>
        <v>-52.20420883695093</v>
      </c>
      <c r="BA170" s="11">
        <f aca="true" t="shared" si="189" ref="BA170:BA181">IF(AB170=1,IF(Q170="tak",0,ROUND(-AY170/(P170-K170+1),2)),0)</f>
        <v>-490.02</v>
      </c>
      <c r="BB170" s="11">
        <f t="shared" si="135"/>
        <v>-542.2242088369509</v>
      </c>
      <c r="BC170" s="11">
        <f t="shared" si="177"/>
        <v>-2117.656647612712</v>
      </c>
      <c r="BE170" s="172">
        <f t="shared" si="146"/>
        <v>0.0173</v>
      </c>
      <c r="BF170" s="44">
        <f>BE170+Podsumowanie!$E$6</f>
        <v>0.0293</v>
      </c>
      <c r="BG170" s="11">
        <f>BG$5+SUM(BH$5:BH169)+SUM(R$5:R169)-SUM(S$5:S169)</f>
        <v>342672.0240726749</v>
      </c>
      <c r="BH170" s="10">
        <f t="shared" si="137"/>
        <v>-935.4083428510927</v>
      </c>
      <c r="BI170" s="10">
        <f aca="true" t="shared" si="190" ref="BI170:BI176">IF(BJ170&lt;0,-BG170*BF170/12,0)</f>
        <v>-836.6908587774479</v>
      </c>
      <c r="BJ170" s="10">
        <f>IF(U170&lt;0,PMT(BF170/12,Podsumowanie!E$8-SUM(AB$5:AB170)+1,BG170),0)</f>
        <v>-1772.0992016285406</v>
      </c>
      <c r="BL170" s="11">
        <f>BL$5+SUM(BN$5:BN169)+SUM(R$5:R169)-SUM(S$5:S169)</f>
        <v>290807.79944289674</v>
      </c>
      <c r="BM170" s="11">
        <f t="shared" si="140"/>
        <v>-710.0557103064061</v>
      </c>
      <c r="BN170" s="11">
        <f t="shared" si="141"/>
        <v>-1114.206128133704</v>
      </c>
      <c r="BO170" s="11">
        <f aca="true" t="shared" si="191" ref="BO170:BO232">BN170+BM170</f>
        <v>-1824.26183844011</v>
      </c>
      <c r="BQ170" s="44">
        <f t="shared" si="147"/>
        <v>0.0294</v>
      </c>
      <c r="BR170" s="11">
        <f>BR$5+SUM(BS$5:BS169)+SUM(R$5:R169)-SUM(S$5:S169)+SUM(BV$5:BV169)</f>
        <v>370258.6285837111</v>
      </c>
      <c r="BS170" s="10">
        <f t="shared" si="157"/>
        <v>-1009.5004723427897</v>
      </c>
      <c r="BT170" s="10">
        <f t="shared" si="158"/>
        <v>-907.1336400300921</v>
      </c>
      <c r="BU170" s="10">
        <f>IF(U170&lt;0,PMT(BQ170/12,Podsumowanie!E$8-SUM(AB$5:AB170)+1,BR170),0)</f>
        <v>-1916.6341123728819</v>
      </c>
      <c r="BV170" s="10">
        <f t="shared" si="152"/>
        <v>-349.4456918652588</v>
      </c>
      <c r="BX170" s="11">
        <f>BX$5+SUM(BZ$5:BZ169)+SUM(R$5:R169)-SUM(S$5:S169)+SUM(CB$5,CB169)</f>
        <v>290254.7710062229</v>
      </c>
      <c r="BY170" s="10">
        <f t="shared" si="148"/>
        <v>-711.124188965246</v>
      </c>
      <c r="BZ170" s="10">
        <f t="shared" si="149"/>
        <v>-1112.0872452345704</v>
      </c>
      <c r="CA170" s="10">
        <f t="shared" si="159"/>
        <v>-1823.2114341998165</v>
      </c>
      <c r="CB170" s="10">
        <f t="shared" si="160"/>
        <v>-442.8683700383242</v>
      </c>
      <c r="CD170" s="10">
        <f>CD$5+SUM(CE$5:CE169)+SUM(R$5:R169)-SUM(S$5:S169)-SUM(CF$5:CF169)</f>
        <v>349420.2807028771</v>
      </c>
      <c r="CE170" s="10">
        <f t="shared" si="153"/>
        <v>711.124188965246</v>
      </c>
      <c r="CF170" s="10">
        <f t="shared" si="154"/>
        <v>2266.0798042381407</v>
      </c>
      <c r="CG170" s="10">
        <f t="shared" si="155"/>
        <v>1554.9556152728946</v>
      </c>
      <c r="CI170" s="44">
        <v>0.4788</v>
      </c>
      <c r="CJ170" s="10">
        <f t="shared" si="156"/>
        <v>-1085</v>
      </c>
      <c r="CK170" s="4">
        <f t="shared" si="161"/>
        <v>0</v>
      </c>
      <c r="CM170" s="10">
        <f t="shared" si="162"/>
        <v>-205104.99792497355</v>
      </c>
      <c r="CN170" s="4">
        <f t="shared" si="163"/>
        <v>-295.69303867517016</v>
      </c>
    </row>
    <row r="171" spans="1:92" ht="15.75">
      <c r="A171" s="36"/>
      <c r="B171" s="37">
        <v>42309</v>
      </c>
      <c r="C171" s="77">
        <f t="shared" si="144"/>
        <v>3.9239</v>
      </c>
      <c r="D171" s="78">
        <f>C171*(1+Podsumowanie!E$11)</f>
        <v>4.0416170000000005</v>
      </c>
      <c r="E171" s="34">
        <f t="shared" si="169"/>
        <v>-563.3279938145834</v>
      </c>
      <c r="F171" s="7">
        <f t="shared" si="170"/>
        <v>-2276.7559963769154</v>
      </c>
      <c r="G171" s="7">
        <f t="shared" si="174"/>
        <v>-1242.4683365655314</v>
      </c>
      <c r="H171" s="7">
        <f t="shared" si="171"/>
        <v>1034.287659811384</v>
      </c>
      <c r="I171" s="32"/>
      <c r="J171" s="4" t="str">
        <f t="shared" si="164"/>
        <v xml:space="preserve"> </v>
      </c>
      <c r="K171" s="4">
        <f>IF(B171&lt;Podsumowanie!E$7,0,K170+1)</f>
        <v>101</v>
      </c>
      <c r="L171" s="100">
        <f t="shared" si="145"/>
        <v>-0.0074</v>
      </c>
      <c r="M171" s="38">
        <f>L171+Podsumowanie!E$6</f>
        <v>0.0046</v>
      </c>
      <c r="N171" s="101">
        <f>MAX(Podsumowanie!E$4+SUM(AA$5:AA170)-SUM(X$5:X171)+SUM(W$5:W171),0)</f>
        <v>139887.28729172132</v>
      </c>
      <c r="O171" s="102">
        <f>MAX(Podsumowanie!E$2+SUM(V$5:V170)-SUM(S$5:S171)+SUM(R$5:R171),0)</f>
        <v>308533.4424285984</v>
      </c>
      <c r="P171" s="39">
        <f aca="true" t="shared" si="192" ref="P171:P234">P170</f>
        <v>360</v>
      </c>
      <c r="Q171" s="40" t="str">
        <f>IF(AND(K171&gt;0,K171&lt;=Podsumowanie!E$9),"tak","nie")</f>
        <v>nie</v>
      </c>
      <c r="R171" s="41"/>
      <c r="S171" s="42"/>
      <c r="T171" s="88">
        <f t="shared" si="178"/>
        <v>-118.27115293096273</v>
      </c>
      <c r="U171" s="89">
        <f>IF(Q171="tak",T171,IF(P171-SUM(AB$5:AB171)+1&gt;0,IF(Podsumowanie!E$7&lt;B171,IF(SUM(AB$5:AB171)-Podsumowanie!E$9+1&gt;0,PMT(M171/12,P171+1-SUM(AB$5:AB171),O171),T171),0),0))</f>
        <v>-1242.4683365655314</v>
      </c>
      <c r="V171" s="89">
        <f t="shared" si="173"/>
        <v>-1124.1971836345688</v>
      </c>
      <c r="W171" s="90" t="str">
        <f>IF(R171&gt;0,R171/(C171*(1-Podsumowanie!E$11))," ")</f>
        <v xml:space="preserve"> </v>
      </c>
      <c r="X171" s="90">
        <f t="shared" si="150"/>
        <v>0</v>
      </c>
      <c r="Y171" s="91">
        <f t="shared" si="168"/>
        <v>-53.62346012849317</v>
      </c>
      <c r="Z171" s="90">
        <f>IF(P171-SUM(AB$5:AB171)+1&gt;0,IF(Podsumowanie!E$7&lt;B171,IF(SUM(AB$5:AB171)-Podsumowanie!E$9+1&gt;0,PMT(M171/12,P171+1-SUM(AB$5:AB171),N171),Y171),0),0)</f>
        <v>-563.3279938145834</v>
      </c>
      <c r="AA171" s="90">
        <f t="shared" si="172"/>
        <v>-509.7045336860902</v>
      </c>
      <c r="AB171" s="8">
        <f>IF(AND(Podsumowanie!E$7&lt;B171,SUM(AB$5:AB170)&lt;P170),1," ")</f>
        <v>1</v>
      </c>
      <c r="AD171" s="51">
        <f>IF(OR(B171&lt;Podsumowanie!E$12,Podsumowanie!E$12=""),-F171+S171,0)</f>
        <v>2276.7559963769154</v>
      </c>
      <c r="AE171" s="51">
        <f t="shared" si="151"/>
        <v>0</v>
      </c>
      <c r="AG171" s="10">
        <f>Podsumowanie!E$4-SUM(AI$5:AI170)+SUM(W$42:W171)-SUM(X$42:X171)</f>
        <v>131345.49813555225</v>
      </c>
      <c r="AH171" s="10">
        <f t="shared" si="179"/>
        <v>50.35</v>
      </c>
      <c r="AI171" s="10">
        <f t="shared" si="180"/>
        <v>505.17</v>
      </c>
      <c r="AJ171" s="10">
        <f aca="true" t="shared" si="193" ref="AJ171:AJ176">AI171+AH171</f>
        <v>555.52</v>
      </c>
      <c r="AK171" s="10">
        <f t="shared" si="175"/>
        <v>2245.2</v>
      </c>
      <c r="AL171" s="10">
        <f>Podsumowanie!E$2-SUM(AN$5:AN170)+SUM(R$42:R171)-SUM(S$42:S171)</f>
        <v>289693.2999999999</v>
      </c>
      <c r="AM171" s="10">
        <f t="shared" si="181"/>
        <v>111.05</v>
      </c>
      <c r="AN171" s="10">
        <f t="shared" si="182"/>
        <v>1114.21</v>
      </c>
      <c r="AO171" s="10">
        <f t="shared" si="183"/>
        <v>1225.26</v>
      </c>
      <c r="AP171" s="10">
        <f t="shared" si="184"/>
        <v>1019.9399999999998</v>
      </c>
      <c r="AR171" s="43">
        <f t="shared" si="176"/>
        <v>42309</v>
      </c>
      <c r="AS171" s="11">
        <f>AS$5+SUM(AV$5:AV170)-SUM(X$5:X171)+SUM(W$5:W171)</f>
        <v>135690.66867296968</v>
      </c>
      <c r="AT171" s="10">
        <f t="shared" si="185"/>
        <v>-52.01475632463838</v>
      </c>
      <c r="AU171" s="10">
        <f>IF(AB171=1,IF(Q171="tak",AT171,PMT(M171/12,P171+1-SUM(AB$5:AB171),AS171)),0)</f>
        <v>-546.4281540001458</v>
      </c>
      <c r="AV171" s="10">
        <f t="shared" si="186"/>
        <v>-494.41339767550744</v>
      </c>
      <c r="AW171" s="10">
        <f t="shared" si="187"/>
        <v>-2144.1294334811723</v>
      </c>
      <c r="AY171" s="11">
        <f>AY$5+SUM(BA$5:BA170)+SUM(W$5:W170)-SUM(X$5:X170)</f>
        <v>127404.9871914857</v>
      </c>
      <c r="AZ171" s="11">
        <f t="shared" si="188"/>
        <v>-52.01475632463838</v>
      </c>
      <c r="BA171" s="11">
        <f t="shared" si="189"/>
        <v>-490.02</v>
      </c>
      <c r="BB171" s="11">
        <f t="shared" si="135"/>
        <v>-542.0347563246384</v>
      </c>
      <c r="BC171" s="11">
        <f t="shared" si="177"/>
        <v>-2126.8901803422486</v>
      </c>
      <c r="BE171" s="172">
        <f t="shared" si="146"/>
        <v>0.0173</v>
      </c>
      <c r="BF171" s="44">
        <f>BE171+Podsumowanie!$E$6</f>
        <v>0.0293</v>
      </c>
      <c r="BG171" s="11">
        <f>BG$5+SUM(BH$5:BH170)+SUM(R$5:R170)-SUM(S$5:S170)</f>
        <v>341736.6157298238</v>
      </c>
      <c r="BH171" s="10">
        <f t="shared" si="137"/>
        <v>-937.6922982215541</v>
      </c>
      <c r="BI171" s="10">
        <f t="shared" si="190"/>
        <v>-834.4069034069865</v>
      </c>
      <c r="BJ171" s="10">
        <f>IF(U171&lt;0,PMT(BF171/12,Podsumowanie!E$8-SUM(AB$5:AB171)+1,BG171),0)</f>
        <v>-1772.0992016285406</v>
      </c>
      <c r="BL171" s="11">
        <f>BL$5+SUM(BN$5:BN170)+SUM(R$5:R170)-SUM(S$5:S170)</f>
        <v>289693.59331476304</v>
      </c>
      <c r="BM171" s="11">
        <f t="shared" si="140"/>
        <v>-707.3351903435464</v>
      </c>
      <c r="BN171" s="11">
        <f t="shared" si="141"/>
        <v>-1114.206128133704</v>
      </c>
      <c r="BO171" s="11">
        <f t="shared" si="191"/>
        <v>-1821.5413184772503</v>
      </c>
      <c r="BQ171" s="44">
        <f t="shared" si="147"/>
        <v>0.0294</v>
      </c>
      <c r="BR171" s="11">
        <f>BR$5+SUM(BS$5:BS170)+SUM(R$5:R170)-SUM(S$5:S170)+SUM(BV$5:BV170)</f>
        <v>368899.68241950305</v>
      </c>
      <c r="BS171" s="10">
        <f t="shared" si="157"/>
        <v>-1011.0160485631258</v>
      </c>
      <c r="BT171" s="10">
        <f t="shared" si="158"/>
        <v>-903.8042219277824</v>
      </c>
      <c r="BU171" s="10">
        <f>IF(U171&lt;0,PMT(BQ171/12,Podsumowanie!E$8-SUM(AB$5:AB171)+1,BR171),0)</f>
        <v>-1914.8202704909081</v>
      </c>
      <c r="BV171" s="10">
        <f t="shared" si="152"/>
        <v>-361.9357258860073</v>
      </c>
      <c r="BX171" s="11">
        <f>BX$5+SUM(BZ$5:BZ170)+SUM(R$5:R170)-SUM(S$5:S170)+SUM(CB$5,CB170)</f>
        <v>289116.3794834779</v>
      </c>
      <c r="BY171" s="10">
        <f t="shared" si="148"/>
        <v>-708.3351297345208</v>
      </c>
      <c r="BZ171" s="10">
        <f t="shared" si="149"/>
        <v>-1111.9860749364534</v>
      </c>
      <c r="CA171" s="10">
        <f t="shared" si="159"/>
        <v>-1820.321204670974</v>
      </c>
      <c r="CB171" s="10">
        <f t="shared" si="160"/>
        <v>-456.4347917059413</v>
      </c>
      <c r="CD171" s="10">
        <f>CD$5+SUM(CE$5:CE170)+SUM(R$5:R170)-SUM(S$5:S170)-SUM(CF$5:CF170)</f>
        <v>347865.3250876043</v>
      </c>
      <c r="CE171" s="10">
        <f t="shared" si="153"/>
        <v>708.3351297345208</v>
      </c>
      <c r="CF171" s="10">
        <f t="shared" si="154"/>
        <v>2276.7559963769154</v>
      </c>
      <c r="CG171" s="10">
        <f t="shared" si="155"/>
        <v>1568.4208666423947</v>
      </c>
      <c r="CI171" s="44">
        <v>0.4773</v>
      </c>
      <c r="CJ171" s="10">
        <f t="shared" si="156"/>
        <v>-1086.7</v>
      </c>
      <c r="CK171" s="4">
        <f t="shared" si="161"/>
        <v>0</v>
      </c>
      <c r="CM171" s="10">
        <f t="shared" si="162"/>
        <v>-207381.75392135046</v>
      </c>
      <c r="CN171" s="4">
        <f t="shared" si="163"/>
        <v>-298.97536190328026</v>
      </c>
    </row>
    <row r="172" spans="1:92" ht="15.75">
      <c r="A172" s="36"/>
      <c r="B172" s="37">
        <v>42339</v>
      </c>
      <c r="C172" s="77">
        <f t="shared" si="144"/>
        <v>3.9613</v>
      </c>
      <c r="D172" s="78">
        <f>C172*(1+Podsumowanie!E$11)</f>
        <v>4.080139</v>
      </c>
      <c r="E172" s="34">
        <f t="shared" si="169"/>
        <v>-563.3279938145834</v>
      </c>
      <c r="F172" s="7">
        <f t="shared" si="170"/>
        <v>-2298.4565173546403</v>
      </c>
      <c r="G172" s="7">
        <f t="shared" si="174"/>
        <v>-1242.4683365655312</v>
      </c>
      <c r="H172" s="7">
        <f t="shared" si="171"/>
        <v>1055.988180789109</v>
      </c>
      <c r="I172" s="32"/>
      <c r="J172" s="4" t="str">
        <f t="shared" si="164"/>
        <v xml:space="preserve"> </v>
      </c>
      <c r="K172" s="4">
        <f>IF(B172&lt;Podsumowanie!E$7,0,K171+1)</f>
        <v>102</v>
      </c>
      <c r="L172" s="100">
        <f t="shared" si="145"/>
        <v>-0.0074</v>
      </c>
      <c r="M172" s="38">
        <f>L172+Podsumowanie!E$6</f>
        <v>0.0046</v>
      </c>
      <c r="N172" s="101">
        <f>MAX(Podsumowanie!E$4+SUM(AA$5:AA171)-SUM(X$5:X172)+SUM(W$5:W172),0)</f>
        <v>139377.58275803525</v>
      </c>
      <c r="O172" s="102">
        <f>MAX(Podsumowanie!E$2+SUM(V$5:V171)-SUM(S$5:S172)+SUM(R$5:R172),0)</f>
        <v>307409.2452449638</v>
      </c>
      <c r="P172" s="39">
        <f t="shared" si="192"/>
        <v>360</v>
      </c>
      <c r="Q172" s="40" t="str">
        <f>IF(AND(K172&gt;0,K172&lt;=Podsumowanie!E$9),"tak","nie")</f>
        <v>nie</v>
      </c>
      <c r="R172" s="41"/>
      <c r="S172" s="42"/>
      <c r="T172" s="88">
        <f t="shared" si="178"/>
        <v>-117.84021067723613</v>
      </c>
      <c r="U172" s="89">
        <f>IF(Q172="tak",T172,IF(P172-SUM(AB$5:AB172)+1&gt;0,IF(Podsumowanie!E$7&lt;B172,IF(SUM(AB$5:AB172)-Podsumowanie!E$9+1&gt;0,PMT(M172/12,P172+1-SUM(AB$5:AB172),O172),T172),0),0))</f>
        <v>-1242.4683365655312</v>
      </c>
      <c r="V172" s="89">
        <f t="shared" si="173"/>
        <v>-1124.628125888295</v>
      </c>
      <c r="W172" s="90" t="str">
        <f>IF(R172&gt;0,R172/(C172*(1-Podsumowanie!E$11))," ")</f>
        <v xml:space="preserve"> </v>
      </c>
      <c r="X172" s="90">
        <f t="shared" si="150"/>
        <v>0</v>
      </c>
      <c r="Y172" s="91">
        <f t="shared" si="168"/>
        <v>-53.42807339058018</v>
      </c>
      <c r="Z172" s="90">
        <f>IF(P172-SUM(AB$5:AB172)+1&gt;0,IF(Podsumowanie!E$7&lt;B172,IF(SUM(AB$5:AB172)-Podsumowanie!E$9+1&gt;0,PMT(M172/12,P172+1-SUM(AB$5:AB172),N172),Y172),0),0)</f>
        <v>-563.3279938145834</v>
      </c>
      <c r="AA172" s="90">
        <f t="shared" si="172"/>
        <v>-509.8999204240032</v>
      </c>
      <c r="AB172" s="8">
        <f>IF(AND(Podsumowanie!E$7&lt;B172,SUM(AB$5:AB171)&lt;P171),1," ")</f>
        <v>1</v>
      </c>
      <c r="AD172" s="51">
        <f>IF(OR(B172&lt;Podsumowanie!E$12,Podsumowanie!E$12=""),-F172+S172,0)</f>
        <v>2298.4565173546403</v>
      </c>
      <c r="AE172" s="51">
        <f t="shared" si="151"/>
        <v>0</v>
      </c>
      <c r="AG172" s="10">
        <f>Podsumowanie!E$4-SUM(AI$5:AI171)+SUM(W$42:W172)-SUM(X$42:X172)</f>
        <v>130840.32813555225</v>
      </c>
      <c r="AH172" s="10">
        <f t="shared" si="179"/>
        <v>50.16</v>
      </c>
      <c r="AI172" s="10">
        <f t="shared" si="180"/>
        <v>505.18</v>
      </c>
      <c r="AJ172" s="10">
        <f t="shared" si="193"/>
        <v>555.34</v>
      </c>
      <c r="AK172" s="10">
        <f t="shared" si="175"/>
        <v>2265.86</v>
      </c>
      <c r="AL172" s="10">
        <f>Podsumowanie!E$2-SUM(AN$5:AN171)+SUM(R$42:R172)-SUM(S$42:S172)</f>
        <v>288579.08999999985</v>
      </c>
      <c r="AM172" s="10">
        <f t="shared" si="181"/>
        <v>110.62</v>
      </c>
      <c r="AN172" s="10">
        <f t="shared" si="182"/>
        <v>1114.2</v>
      </c>
      <c r="AO172" s="10">
        <f t="shared" si="183"/>
        <v>1224.8200000000002</v>
      </c>
      <c r="AP172" s="10">
        <f t="shared" si="184"/>
        <v>1041.04</v>
      </c>
      <c r="AR172" s="43">
        <f t="shared" si="176"/>
        <v>42339</v>
      </c>
      <c r="AS172" s="11">
        <f>AS$5+SUM(AV$5:AV171)-SUM(X$5:X172)+SUM(W$5:W172)</f>
        <v>135196.25527529418</v>
      </c>
      <c r="AT172" s="10">
        <f t="shared" si="185"/>
        <v>-51.82523118886277</v>
      </c>
      <c r="AU172" s="10">
        <f>IF(AB172=1,IF(Q172="tak",AT172,PMT(M172/12,P172+1-SUM(AB$5:AB172),AS172)),0)</f>
        <v>-546.4281540001458</v>
      </c>
      <c r="AV172" s="10">
        <f t="shared" si="186"/>
        <v>-494.60292281128307</v>
      </c>
      <c r="AW172" s="10">
        <f t="shared" si="187"/>
        <v>-2164.5658464407775</v>
      </c>
      <c r="AY172" s="11">
        <f>AY$5+SUM(BA$5:BA171)+SUM(W$5:W171)-SUM(X$5:X171)</f>
        <v>126914.96719148572</v>
      </c>
      <c r="AZ172" s="11">
        <f t="shared" si="188"/>
        <v>-51.82523118886277</v>
      </c>
      <c r="BA172" s="11">
        <f t="shared" si="189"/>
        <v>-490.02</v>
      </c>
      <c r="BB172" s="11">
        <f t="shared" si="135"/>
        <v>-541.8452311888627</v>
      </c>
      <c r="BC172" s="11">
        <f t="shared" si="177"/>
        <v>-2146.411514308442</v>
      </c>
      <c r="BE172" s="172">
        <f t="shared" si="146"/>
        <v>0.0172</v>
      </c>
      <c r="BF172" s="44">
        <f>BE172+Podsumowanie!$E$6</f>
        <v>0.0292</v>
      </c>
      <c r="BG172" s="11">
        <f>BG$5+SUM(BH$5:BH171)+SUM(R$5:R171)-SUM(S$5:S171)</f>
        <v>340798.92343160225</v>
      </c>
      <c r="BH172" s="10">
        <f t="shared" si="137"/>
        <v>-941.10088314198</v>
      </c>
      <c r="BI172" s="10">
        <f t="shared" si="190"/>
        <v>-829.2773803502322</v>
      </c>
      <c r="BJ172" s="10">
        <f>IF(U172&lt;0,PMT(BF172/12,Podsumowanie!E$8-SUM(AB$5:AB172)+1,BG172),0)</f>
        <v>-1770.3782634922122</v>
      </c>
      <c r="BL172" s="11">
        <f>BL$5+SUM(BN$5:BN171)+SUM(R$5:R171)-SUM(S$5:S171)</f>
        <v>288579.38718662935</v>
      </c>
      <c r="BM172" s="11">
        <f t="shared" si="140"/>
        <v>-702.2098421541314</v>
      </c>
      <c r="BN172" s="11">
        <f t="shared" si="141"/>
        <v>-1114.206128133704</v>
      </c>
      <c r="BO172" s="11">
        <f t="shared" si="191"/>
        <v>-1816.4159702878353</v>
      </c>
      <c r="BQ172" s="44">
        <f t="shared" si="147"/>
        <v>0.0293</v>
      </c>
      <c r="BR172" s="11">
        <f>BR$5+SUM(BS$5:BS171)+SUM(R$5:R171)-SUM(S$5:S171)+SUM(BV$5:BV171)</f>
        <v>367526.7306450539</v>
      </c>
      <c r="BS172" s="10">
        <f t="shared" si="157"/>
        <v>-1013.701702631011</v>
      </c>
      <c r="BT172" s="10">
        <f t="shared" si="158"/>
        <v>-897.3777673250066</v>
      </c>
      <c r="BU172" s="10">
        <f>IF(U172&lt;0,PMT(BQ172/12,Podsumowanie!E$8-SUM(AB$5:AB172)+1,BR172),0)</f>
        <v>-1911.0794699560176</v>
      </c>
      <c r="BV172" s="10">
        <f t="shared" si="152"/>
        <v>-387.3770473986226</v>
      </c>
      <c r="BX172" s="11">
        <f>BX$5+SUM(BZ$5:BZ171)+SUM(R$5:R171)-SUM(S$5:S171)+SUM(CB$5,CB171)</f>
        <v>287990.8269868739</v>
      </c>
      <c r="BY172" s="10">
        <f t="shared" si="148"/>
        <v>-703.177602559617</v>
      </c>
      <c r="BZ172" s="10">
        <f t="shared" si="149"/>
        <v>-1111.933694930015</v>
      </c>
      <c r="CA172" s="10">
        <f t="shared" si="159"/>
        <v>-1815.1112974896319</v>
      </c>
      <c r="CB172" s="10">
        <f t="shared" si="160"/>
        <v>-483.3452198650084</v>
      </c>
      <c r="CD172" s="10">
        <f>CD$5+SUM(CE$5:CE171)+SUM(R$5:R171)-SUM(S$5:S171)-SUM(CF$5:CF171)</f>
        <v>346296.90422096185</v>
      </c>
      <c r="CE172" s="10">
        <f t="shared" si="153"/>
        <v>703.177602559617</v>
      </c>
      <c r="CF172" s="10">
        <f t="shared" si="154"/>
        <v>2298.4565173546403</v>
      </c>
      <c r="CG172" s="10">
        <f t="shared" si="155"/>
        <v>1595.2789147950234</v>
      </c>
      <c r="CI172" s="44">
        <v>0.4788</v>
      </c>
      <c r="CJ172" s="10">
        <f t="shared" si="156"/>
        <v>-1100.5</v>
      </c>
      <c r="CK172" s="4">
        <f t="shared" si="161"/>
        <v>0</v>
      </c>
      <c r="CM172" s="10">
        <f t="shared" si="162"/>
        <v>-209680.2104387051</v>
      </c>
      <c r="CN172" s="4">
        <f t="shared" si="163"/>
        <v>-300.541634962144</v>
      </c>
    </row>
    <row r="173" spans="1:92" ht="15.75">
      <c r="A173" s="36">
        <v>2016</v>
      </c>
      <c r="B173" s="37">
        <v>42370</v>
      </c>
      <c r="C173" s="77">
        <f t="shared" si="144"/>
        <v>4.0176</v>
      </c>
      <c r="D173" s="78">
        <f>C173*(1+Podsumowanie!E$11)</f>
        <v>4.138128</v>
      </c>
      <c r="E173" s="34">
        <f t="shared" si="169"/>
        <v>-563.3279938145834</v>
      </c>
      <c r="F173" s="7">
        <f t="shared" si="170"/>
        <v>-2331.123344387954</v>
      </c>
      <c r="G173" s="7">
        <f t="shared" si="174"/>
        <v>-1242.468336565531</v>
      </c>
      <c r="H173" s="7">
        <f t="shared" si="171"/>
        <v>1088.6550078224232</v>
      </c>
      <c r="I173" s="32"/>
      <c r="J173" s="4" t="str">
        <f t="shared" si="164"/>
        <v xml:space="preserve"> </v>
      </c>
      <c r="K173" s="4">
        <f>IF(B173&lt;Podsumowanie!E$7,0,K172+1)</f>
        <v>103</v>
      </c>
      <c r="L173" s="100">
        <f t="shared" si="145"/>
        <v>-0.0074</v>
      </c>
      <c r="M173" s="38">
        <f>L173+Podsumowanie!E$6</f>
        <v>0.0046</v>
      </c>
      <c r="N173" s="101">
        <f>MAX(Podsumowanie!E$4+SUM(AA$5:AA172)-SUM(X$5:X173)+SUM(W$5:W173),0)</f>
        <v>138867.68283761124</v>
      </c>
      <c r="O173" s="102">
        <f>MAX(Podsumowanie!E$2+SUM(V$5:V172)-SUM(S$5:S173)+SUM(R$5:R173),0)</f>
        <v>306284.6171190755</v>
      </c>
      <c r="P173" s="39">
        <f t="shared" si="192"/>
        <v>360</v>
      </c>
      <c r="Q173" s="40" t="str">
        <f>IF(AND(K173&gt;0,K173&lt;=Podsumowanie!E$9),"tak","nie")</f>
        <v>nie</v>
      </c>
      <c r="R173" s="41"/>
      <c r="S173" s="42"/>
      <c r="T173" s="88">
        <f t="shared" si="178"/>
        <v>-117.40910322897894</v>
      </c>
      <c r="U173" s="89">
        <f>IF(Q173="tak",T173,IF(P173-SUM(AB$5:AB173)+1&gt;0,IF(Podsumowanie!E$7&lt;B173,IF(SUM(AB$5:AB173)-Podsumowanie!E$9+1&gt;0,PMT(M173/12,P173+1-SUM(AB$5:AB173),O173),T173),0),0))</f>
        <v>-1242.468336565531</v>
      </c>
      <c r="V173" s="89">
        <f t="shared" si="173"/>
        <v>-1125.059233336552</v>
      </c>
      <c r="W173" s="90" t="str">
        <f>IF(R173&gt;0,R173/(C173*(1-Podsumowanie!E$11))," ")</f>
        <v xml:space="preserve"> </v>
      </c>
      <c r="X173" s="90">
        <f t="shared" si="150"/>
        <v>0</v>
      </c>
      <c r="Y173" s="91">
        <f t="shared" si="168"/>
        <v>-53.23261175441764</v>
      </c>
      <c r="Z173" s="90">
        <f>IF(P173-SUM(AB$5:AB173)+1&gt;0,IF(Podsumowanie!E$7&lt;B173,IF(SUM(AB$5:AB173)-Podsumowanie!E$9+1&gt;0,PMT(M173/12,P173+1-SUM(AB$5:AB173),N173),Y173),0),0)</f>
        <v>-563.3279938145834</v>
      </c>
      <c r="AA173" s="90">
        <f t="shared" si="172"/>
        <v>-510.0953820601657</v>
      </c>
      <c r="AB173" s="8">
        <f>IF(AND(Podsumowanie!E$7&lt;B173,SUM(AB$5:AB172)&lt;P172),1," ")</f>
        <v>1</v>
      </c>
      <c r="AD173" s="51">
        <f>IF(OR(B173&lt;Podsumowanie!E$12,Podsumowanie!E$12=""),-F173+S173,0)</f>
        <v>2331.123344387954</v>
      </c>
      <c r="AE173" s="51">
        <f t="shared" si="151"/>
        <v>0</v>
      </c>
      <c r="AG173" s="10">
        <f>Podsumowanie!E$4-SUM(AI$5:AI172)+SUM(W$42:W173)-SUM(X$42:X173)</f>
        <v>130335.14813555224</v>
      </c>
      <c r="AH173" s="10">
        <f t="shared" si="179"/>
        <v>49.96</v>
      </c>
      <c r="AI173" s="10">
        <f t="shared" si="180"/>
        <v>505.17</v>
      </c>
      <c r="AJ173" s="10">
        <f t="shared" si="193"/>
        <v>555.13</v>
      </c>
      <c r="AK173" s="10">
        <f t="shared" si="175"/>
        <v>2297.2</v>
      </c>
      <c r="AL173" s="10">
        <f>Podsumowanie!E$2-SUM(AN$5:AN172)+SUM(R$42:R173)-SUM(S$42:S173)</f>
        <v>287464.8899999999</v>
      </c>
      <c r="AM173" s="10">
        <f t="shared" si="181"/>
        <v>110.19</v>
      </c>
      <c r="AN173" s="10">
        <f t="shared" si="182"/>
        <v>1114.21</v>
      </c>
      <c r="AO173" s="10">
        <f t="shared" si="183"/>
        <v>1224.4</v>
      </c>
      <c r="AP173" s="10">
        <f t="shared" si="184"/>
        <v>1072.7999999999997</v>
      </c>
      <c r="AR173" s="43">
        <f t="shared" si="176"/>
        <v>42370</v>
      </c>
      <c r="AS173" s="11">
        <f>AS$5+SUM(AV$5:AV172)-SUM(X$5:X173)+SUM(W$5:W173)</f>
        <v>134701.6523524829</v>
      </c>
      <c r="AT173" s="10">
        <f t="shared" si="185"/>
        <v>-51.63563340178511</v>
      </c>
      <c r="AU173" s="10">
        <f>IF(AB173=1,IF(Q173="tak",AT173,PMT(M173/12,P173+1-SUM(AB$5:AB173),AS173)),0)</f>
        <v>-546.4281540001458</v>
      </c>
      <c r="AV173" s="10">
        <f t="shared" si="186"/>
        <v>-494.7925205983607</v>
      </c>
      <c r="AW173" s="10">
        <f t="shared" si="187"/>
        <v>-2195.3297515109857</v>
      </c>
      <c r="AY173" s="11">
        <f>AY$5+SUM(BA$5:BA172)+SUM(W$5:W172)-SUM(X$5:X172)</f>
        <v>126424.94719148571</v>
      </c>
      <c r="AZ173" s="11">
        <f t="shared" si="188"/>
        <v>-51.63563340178511</v>
      </c>
      <c r="BA173" s="11">
        <f t="shared" si="189"/>
        <v>-490.02</v>
      </c>
      <c r="BB173" s="11">
        <f t="shared" si="135"/>
        <v>-541.655633401785</v>
      </c>
      <c r="BC173" s="11">
        <f t="shared" si="177"/>
        <v>-2176.1556727550114</v>
      </c>
      <c r="BE173" s="172">
        <f t="shared" si="146"/>
        <v>0.0171</v>
      </c>
      <c r="BF173" s="44">
        <f>BE173+Podsumowanie!$E$6</f>
        <v>0.0291</v>
      </c>
      <c r="BG173" s="11">
        <f>BG$5+SUM(BH$5:BH172)+SUM(R$5:R172)-SUM(S$5:S172)</f>
        <v>339857.8225484603</v>
      </c>
      <c r="BH173" s="10">
        <f t="shared" si="137"/>
        <v>-944.5089164394233</v>
      </c>
      <c r="BI173" s="10">
        <f t="shared" si="190"/>
        <v>-824.1552196800162</v>
      </c>
      <c r="BJ173" s="10">
        <f>IF(U173&lt;0,PMT(BF173/12,Podsumowanie!E$8-SUM(AB$5:AB173)+1,BG173),0)</f>
        <v>-1768.6641361194395</v>
      </c>
      <c r="BL173" s="11">
        <f>BL$5+SUM(BN$5:BN172)+SUM(R$5:R172)-SUM(S$5:S172)</f>
        <v>287465.18105849565</v>
      </c>
      <c r="BM173" s="11">
        <f t="shared" si="140"/>
        <v>-697.103064066852</v>
      </c>
      <c r="BN173" s="11">
        <f t="shared" si="141"/>
        <v>-1114.2061281337042</v>
      </c>
      <c r="BO173" s="11">
        <f t="shared" si="191"/>
        <v>-1811.309192200556</v>
      </c>
      <c r="BQ173" s="44">
        <f t="shared" si="147"/>
        <v>0.0292</v>
      </c>
      <c r="BR173" s="11">
        <f>BR$5+SUM(BS$5:BS172)+SUM(R$5:R172)-SUM(S$5:S172)+SUM(BV$5:BV172)</f>
        <v>366125.6518950243</v>
      </c>
      <c r="BS173" s="10">
        <f t="shared" si="157"/>
        <v>-1016.3061833922701</v>
      </c>
      <c r="BT173" s="10">
        <f t="shared" si="158"/>
        <v>-890.9057529445591</v>
      </c>
      <c r="BU173" s="10">
        <f>IF(U173&lt;0,PMT(BQ173/12,Podsumowanie!E$8-SUM(AB$5:AB173)+1,BR173),0)</f>
        <v>-1907.2119363368292</v>
      </c>
      <c r="BV173" s="10">
        <f t="shared" si="152"/>
        <v>-423.9114080511249</v>
      </c>
      <c r="BX173" s="11">
        <f>BX$5+SUM(BZ$5:BZ172)+SUM(R$5:R172)-SUM(S$5:S172)+SUM(CB$5,CB172)</f>
        <v>286851.98286378477</v>
      </c>
      <c r="BY173" s="10">
        <f t="shared" si="148"/>
        <v>-698.0064916352095</v>
      </c>
      <c r="BZ173" s="10">
        <f t="shared" si="149"/>
        <v>-1111.8293909449021</v>
      </c>
      <c r="CA173" s="10">
        <f t="shared" si="159"/>
        <v>-1809.8358825801115</v>
      </c>
      <c r="CB173" s="10">
        <f t="shared" si="160"/>
        <v>-521.2874618078426</v>
      </c>
      <c r="CD173" s="10">
        <f>CD$5+SUM(CE$5:CE172)+SUM(R$5:R172)-SUM(S$5:S172)-SUM(CF$5:CF172)</f>
        <v>344701.6253061669</v>
      </c>
      <c r="CE173" s="10">
        <f t="shared" si="153"/>
        <v>698.0064916352095</v>
      </c>
      <c r="CF173" s="10">
        <f t="shared" si="154"/>
        <v>2331.123344387954</v>
      </c>
      <c r="CG173" s="10">
        <f t="shared" si="155"/>
        <v>1633.1168527527448</v>
      </c>
      <c r="CI173" s="44">
        <v>0.4818</v>
      </c>
      <c r="CJ173" s="10">
        <f t="shared" si="156"/>
        <v>-1123.14</v>
      </c>
      <c r="CK173" s="4">
        <f t="shared" si="161"/>
        <v>0</v>
      </c>
      <c r="CM173" s="10">
        <f t="shared" si="162"/>
        <v>-212011.33378309305</v>
      </c>
      <c r="CN173" s="4">
        <f t="shared" si="163"/>
        <v>-302.1161506409076</v>
      </c>
    </row>
    <row r="174" spans="1:92" ht="15.75">
      <c r="A174" s="36"/>
      <c r="B174" s="37">
        <v>42401</v>
      </c>
      <c r="C174" s="77">
        <f t="shared" si="144"/>
        <v>3.9895</v>
      </c>
      <c r="D174" s="78">
        <f>C174*(1+Podsumowanie!E$11)</f>
        <v>4.109185</v>
      </c>
      <c r="E174" s="34">
        <f t="shared" si="169"/>
        <v>-563.3279938145834</v>
      </c>
      <c r="F174" s="7">
        <f t="shared" si="170"/>
        <v>-2314.818942262979</v>
      </c>
      <c r="G174" s="7">
        <f t="shared" si="174"/>
        <v>-1242.4683365655312</v>
      </c>
      <c r="H174" s="7">
        <f t="shared" si="171"/>
        <v>1072.3506056974477</v>
      </c>
      <c r="I174" s="32"/>
      <c r="K174" s="4">
        <f>IF(B174&lt;Podsumowanie!E$7,0,K173+1)</f>
        <v>104</v>
      </c>
      <c r="L174" s="100">
        <f t="shared" si="145"/>
        <v>-0.0074</v>
      </c>
      <c r="M174" s="38">
        <f>L174+Podsumowanie!E$6</f>
        <v>0.0046</v>
      </c>
      <c r="N174" s="101">
        <f>MAX(Podsumowanie!E$4+SUM(AA$5:AA173)-SUM(X$5:X174)+SUM(W$5:W174),0)</f>
        <v>138357.58745555108</v>
      </c>
      <c r="O174" s="102">
        <f>MAX(Podsumowanie!E$2+SUM(V$5:V173)-SUM(S$5:S174)+SUM(R$5:R174),0)</f>
        <v>305159.55788573896</v>
      </c>
      <c r="P174" s="39">
        <f t="shared" si="192"/>
        <v>360</v>
      </c>
      <c r="Q174" s="40" t="str">
        <f>IF(AND(K174&gt;0,K174&lt;=Podsumowanie!E$9),"tak","nie")</f>
        <v>nie</v>
      </c>
      <c r="R174" s="41"/>
      <c r="S174" s="42"/>
      <c r="T174" s="88">
        <f t="shared" si="178"/>
        <v>-116.9778305228666</v>
      </c>
      <c r="U174" s="89">
        <f>IF(Q174="tak",T174,IF(P174-SUM(AB$5:AB174)+1&gt;0,IF(Podsumowanie!E$7&lt;B174,IF(SUM(AB$5:AB174)-Podsumowanie!E$9+1&gt;0,PMT(M174/12,P174+1-SUM(AB$5:AB174),O174),T174),0),0))</f>
        <v>-1242.4683365655312</v>
      </c>
      <c r="V174" s="89">
        <f t="shared" si="173"/>
        <v>-1125.4905060426647</v>
      </c>
      <c r="W174" s="90" t="str">
        <f>IF(R174&gt;0,R174/(C174*(1-Podsumowanie!E$11))," ")</f>
        <v xml:space="preserve"> </v>
      </c>
      <c r="X174" s="90">
        <f t="shared" si="150"/>
        <v>0</v>
      </c>
      <c r="Y174" s="91">
        <f t="shared" si="168"/>
        <v>-53.037075191294576</v>
      </c>
      <c r="Z174" s="90">
        <f>IF(P174-SUM(AB$5:AB174)+1&gt;0,IF(Podsumowanie!E$7&lt;B174,IF(SUM(AB$5:AB174)-Podsumowanie!E$9+1&gt;0,PMT(M174/12,P174+1-SUM(AB$5:AB174),N174),Y174),0),0)</f>
        <v>-563.3279938145834</v>
      </c>
      <c r="AA174" s="90">
        <f t="shared" si="172"/>
        <v>-510.2909186232888</v>
      </c>
      <c r="AB174" s="8">
        <f>IF(AND(Podsumowanie!E$7&lt;B174,SUM(AB$5:AB173)&lt;P173),1," ")</f>
        <v>1</v>
      </c>
      <c r="AD174" s="51">
        <f>IF(OR(B174&lt;Podsumowanie!E$12,Podsumowanie!E$12=""),-F174+S174,0)</f>
        <v>2314.818942262979</v>
      </c>
      <c r="AE174" s="51">
        <f t="shared" si="151"/>
        <v>0</v>
      </c>
      <c r="AG174" s="10">
        <f>Podsumowanie!E$4-SUM(AI$5:AI173)+SUM(W$42:W174)-SUM(X$42:X174)</f>
        <v>129829.97813555226</v>
      </c>
      <c r="AH174" s="10">
        <f t="shared" si="179"/>
        <v>49.77</v>
      </c>
      <c r="AI174" s="10">
        <f t="shared" si="180"/>
        <v>505.18</v>
      </c>
      <c r="AJ174" s="10">
        <f t="shared" si="193"/>
        <v>554.95</v>
      </c>
      <c r="AK174" s="10">
        <f t="shared" si="175"/>
        <v>2280.39</v>
      </c>
      <c r="AL174" s="10">
        <f>Podsumowanie!E$2-SUM(AN$5:AN173)+SUM(R$42:R174)-SUM(S$42:S174)</f>
        <v>286350.6799999999</v>
      </c>
      <c r="AM174" s="10">
        <f t="shared" si="181"/>
        <v>109.77</v>
      </c>
      <c r="AN174" s="10">
        <f t="shared" si="182"/>
        <v>1114.2</v>
      </c>
      <c r="AO174" s="10">
        <f t="shared" si="183"/>
        <v>1223.97</v>
      </c>
      <c r="AP174" s="10">
        <f t="shared" si="184"/>
        <v>1056.4199999999998</v>
      </c>
      <c r="AR174" s="43">
        <f t="shared" si="176"/>
        <v>42401</v>
      </c>
      <c r="AS174" s="11">
        <f>AS$5+SUM(AV$5:AV173)-SUM(X$5:X174)+SUM(W$5:W174)</f>
        <v>134206.85983188453</v>
      </c>
      <c r="AT174" s="10">
        <f t="shared" si="185"/>
        <v>-51.44596293555574</v>
      </c>
      <c r="AU174" s="10">
        <f>IF(AB174=1,IF(Q174="tak",AT174,PMT(M174/12,P174+1-SUM(AB$5:AB174),AS174)),0)</f>
        <v>-546.4281540001458</v>
      </c>
      <c r="AV174" s="10">
        <f t="shared" si="186"/>
        <v>-494.9821910645901</v>
      </c>
      <c r="AW174" s="10">
        <f t="shared" si="187"/>
        <v>-2179.9751203835817</v>
      </c>
      <c r="AY174" s="11">
        <f>AY$5+SUM(BA$5:BA173)+SUM(W$5:W173)-SUM(X$5:X173)</f>
        <v>125934.92719148571</v>
      </c>
      <c r="AZ174" s="11">
        <f t="shared" si="188"/>
        <v>-51.44596293555574</v>
      </c>
      <c r="BA174" s="11">
        <f t="shared" si="189"/>
        <v>-490.02</v>
      </c>
      <c r="BB174" s="11">
        <f t="shared" si="135"/>
        <v>-541.4659629355557</v>
      </c>
      <c r="BC174" s="11">
        <f t="shared" si="177"/>
        <v>-2160.1784591313994</v>
      </c>
      <c r="BE174" s="172">
        <f t="shared" si="146"/>
        <v>0.0169</v>
      </c>
      <c r="BF174" s="44">
        <f>BE174+Podsumowanie!$E$6</f>
        <v>0.0289</v>
      </c>
      <c r="BG174" s="11">
        <f>BG$5+SUM(BH$5:BH173)+SUM(R$5:R173)-SUM(S$5:S173)</f>
        <v>338913.31363202084</v>
      </c>
      <c r="BH174" s="10">
        <f t="shared" si="137"/>
        <v>-949.0342412816709</v>
      </c>
      <c r="BI174" s="10">
        <f t="shared" si="190"/>
        <v>-816.2162303304502</v>
      </c>
      <c r="BJ174" s="10">
        <f>IF(U174&lt;0,PMT(BF174/12,Podsumowanie!E$8-SUM(AB$5:AB174)+1,BG174),0)</f>
        <v>-1765.2504716121211</v>
      </c>
      <c r="BL174" s="11">
        <f>BL$5+SUM(BN$5:BN173)+SUM(R$5:R173)-SUM(S$5:S173)</f>
        <v>286350.9749303619</v>
      </c>
      <c r="BM174" s="11">
        <f t="shared" si="140"/>
        <v>-689.6285979572882</v>
      </c>
      <c r="BN174" s="11">
        <f t="shared" si="141"/>
        <v>-1114.206128133704</v>
      </c>
      <c r="BO174" s="11">
        <f t="shared" si="191"/>
        <v>-1803.8347260909923</v>
      </c>
      <c r="BQ174" s="44">
        <f t="shared" si="147"/>
        <v>0.028999999999999998</v>
      </c>
      <c r="BR174" s="11">
        <f>BR$5+SUM(BS$5:BS173)+SUM(R$5:R173)-SUM(S$5:S173)+SUM(BV$5:BV173)</f>
        <v>364685.43430358084</v>
      </c>
      <c r="BS174" s="10">
        <f t="shared" si="157"/>
        <v>-1019.9990900373638</v>
      </c>
      <c r="BT174" s="10">
        <f t="shared" si="158"/>
        <v>-881.3231329003203</v>
      </c>
      <c r="BU174" s="10">
        <f>IF(U174&lt;0,PMT(BQ174/12,Podsumowanie!E$8-SUM(AB$5:AB174)+1,BR174),0)</f>
        <v>-1901.322222937684</v>
      </c>
      <c r="BV174" s="10">
        <f t="shared" si="152"/>
        <v>-413.49671932529486</v>
      </c>
      <c r="BX174" s="11">
        <f>BX$5+SUM(BZ$5:BZ173)+SUM(R$5:R173)-SUM(S$5:S173)+SUM(CB$5,CB173)</f>
        <v>285702.21123089705</v>
      </c>
      <c r="BY174" s="10">
        <f t="shared" si="148"/>
        <v>-690.4470104746679</v>
      </c>
      <c r="BZ174" s="10">
        <f t="shared" si="149"/>
        <v>-1111.6817557622453</v>
      </c>
      <c r="CA174" s="10">
        <f t="shared" si="159"/>
        <v>-1802.1287662369132</v>
      </c>
      <c r="CB174" s="10">
        <f t="shared" si="160"/>
        <v>-512.6901760260657</v>
      </c>
      <c r="CD174" s="10">
        <f>CD$5+SUM(CE$5:CE173)+SUM(R$5:R173)-SUM(S$5:S173)-SUM(CF$5:CF173)</f>
        <v>343068.5084534141</v>
      </c>
      <c r="CE174" s="10">
        <f t="shared" si="153"/>
        <v>690.4470104746679</v>
      </c>
      <c r="CF174" s="10">
        <f t="shared" si="154"/>
        <v>2314.818942262979</v>
      </c>
      <c r="CG174" s="10">
        <f t="shared" si="155"/>
        <v>1624.371931788311</v>
      </c>
      <c r="CI174" s="44">
        <v>0.4892</v>
      </c>
      <c r="CJ174" s="10">
        <f t="shared" si="156"/>
        <v>-1132.41</v>
      </c>
      <c r="CK174" s="4">
        <f t="shared" si="161"/>
        <v>0</v>
      </c>
      <c r="CM174" s="10">
        <f t="shared" si="162"/>
        <v>-214326.15272535602</v>
      </c>
      <c r="CN174" s="4">
        <f t="shared" si="163"/>
        <v>-301.8426650882097</v>
      </c>
    </row>
    <row r="175" spans="1:92" ht="15.75">
      <c r="A175" s="36"/>
      <c r="B175" s="37">
        <v>42430</v>
      </c>
      <c r="C175" s="77">
        <f t="shared" si="144"/>
        <v>3.9311</v>
      </c>
      <c r="D175" s="78">
        <f>C175*(1+Podsumowanie!E$11)</f>
        <v>4.049033</v>
      </c>
      <c r="E175" s="34">
        <f t="shared" si="169"/>
        <v>-563.3279938145834</v>
      </c>
      <c r="F175" s="7">
        <f t="shared" si="170"/>
        <v>-2280.933636779044</v>
      </c>
      <c r="G175" s="7">
        <f t="shared" si="174"/>
        <v>-1242.468336565531</v>
      </c>
      <c r="H175" s="7">
        <f t="shared" si="171"/>
        <v>1038.4653002135128</v>
      </c>
      <c r="I175" s="32"/>
      <c r="K175" s="4">
        <f>IF(B175&lt;Podsumowanie!E$7,0,K174+1)</f>
        <v>105</v>
      </c>
      <c r="L175" s="100">
        <f t="shared" si="145"/>
        <v>-0.0074</v>
      </c>
      <c r="M175" s="38">
        <f>L175+Podsumowanie!E$6</f>
        <v>0.0046</v>
      </c>
      <c r="N175" s="101">
        <f>MAX(Podsumowanie!E$4+SUM(AA$5:AA174)-SUM(X$5:X175)+SUM(W$5:W175),0)</f>
        <v>137847.29653692778</v>
      </c>
      <c r="O175" s="102">
        <f>MAX(Podsumowanie!E$2+SUM(V$5:V174)-SUM(S$5:S175)+SUM(R$5:R175),0)</f>
        <v>304034.0673796963</v>
      </c>
      <c r="P175" s="39">
        <f t="shared" si="192"/>
        <v>360</v>
      </c>
      <c r="Q175" s="40" t="str">
        <f>IF(AND(K175&gt;0,K175&lt;=Podsumowanie!E$9),"tak","nie")</f>
        <v>nie</v>
      </c>
      <c r="R175" s="41"/>
      <c r="S175" s="42"/>
      <c r="T175" s="88">
        <f t="shared" si="178"/>
        <v>-116.54639249555025</v>
      </c>
      <c r="U175" s="89">
        <f>IF(Q175="tak",T175,IF(P175-SUM(AB$5:AB175)+1&gt;0,IF(Podsumowanie!E$7&lt;B175,IF(SUM(AB$5:AB175)-Podsumowanie!E$9+1&gt;0,PMT(M175/12,P175+1-SUM(AB$5:AB175),O175),T175),0),0))</f>
        <v>-1242.468336565531</v>
      </c>
      <c r="V175" s="89">
        <f t="shared" si="173"/>
        <v>-1125.9219440699808</v>
      </c>
      <c r="W175" s="90" t="str">
        <f>IF(R175&gt;0,R175/(C175*(1-Podsumowanie!E$11))," ")</f>
        <v xml:space="preserve"> </v>
      </c>
      <c r="X175" s="90">
        <f t="shared" si="150"/>
        <v>0</v>
      </c>
      <c r="Y175" s="91">
        <f t="shared" si="168"/>
        <v>-52.84146367248898</v>
      </c>
      <c r="Z175" s="90">
        <f>IF(P175-SUM(AB$5:AB175)+1&gt;0,IF(Podsumowanie!E$7&lt;B175,IF(SUM(AB$5:AB175)-Podsumowanie!E$9+1&gt;0,PMT(M175/12,P175+1-SUM(AB$5:AB175),N175),Y175),0),0)</f>
        <v>-563.3279938145834</v>
      </c>
      <c r="AA175" s="90">
        <f t="shared" si="172"/>
        <v>-510.48653014209435</v>
      </c>
      <c r="AB175" s="8">
        <f>IF(AND(Podsumowanie!E$7&lt;B175,SUM(AB$5:AB174)&lt;P174),1," ")</f>
        <v>1</v>
      </c>
      <c r="AD175" s="51">
        <f>IF(OR(B175&lt;Podsumowanie!E$12,Podsumowanie!E$12=""),-F175+S175,0)</f>
        <v>2280.933636779044</v>
      </c>
      <c r="AE175" s="51">
        <f t="shared" si="151"/>
        <v>0</v>
      </c>
      <c r="AG175" s="10">
        <f>Podsumowanie!E$4-SUM(AI$5:AI174)+SUM(W$42:W175)-SUM(X$42:X175)</f>
        <v>129324.79813555225</v>
      </c>
      <c r="AH175" s="10">
        <f t="shared" si="179"/>
        <v>49.57</v>
      </c>
      <c r="AI175" s="10">
        <f t="shared" si="180"/>
        <v>505.17</v>
      </c>
      <c r="AJ175" s="10">
        <f t="shared" si="193"/>
        <v>554.74</v>
      </c>
      <c r="AK175" s="10">
        <f t="shared" si="175"/>
        <v>2246.16</v>
      </c>
      <c r="AL175" s="10">
        <f>Podsumowanie!E$2-SUM(AN$5:AN174)+SUM(R$42:R175)-SUM(S$42:S175)</f>
        <v>285236.47999999986</v>
      </c>
      <c r="AM175" s="10">
        <f t="shared" si="181"/>
        <v>109.34</v>
      </c>
      <c r="AN175" s="10">
        <f t="shared" si="182"/>
        <v>1114.21</v>
      </c>
      <c r="AO175" s="10">
        <f t="shared" si="183"/>
        <v>1223.55</v>
      </c>
      <c r="AP175" s="10">
        <f t="shared" si="184"/>
        <v>1022.6099999999999</v>
      </c>
      <c r="AR175" s="43">
        <f t="shared" si="176"/>
        <v>42430</v>
      </c>
      <c r="AS175" s="11">
        <f>AS$5+SUM(AV$5:AV174)-SUM(X$5:X175)+SUM(W$5:W175)</f>
        <v>133711.87764081993</v>
      </c>
      <c r="AT175" s="10">
        <f t="shared" si="185"/>
        <v>-51.25621976231431</v>
      </c>
      <c r="AU175" s="10">
        <f>IF(AB175=1,IF(Q175="tak",AT175,PMT(M175/12,P175+1-SUM(AB$5:AB175),AS175)),0)</f>
        <v>-546.4281540001458</v>
      </c>
      <c r="AV175" s="10">
        <f t="shared" si="186"/>
        <v>-495.1719342378315</v>
      </c>
      <c r="AW175" s="10">
        <f t="shared" si="187"/>
        <v>-2148.063716189973</v>
      </c>
      <c r="AY175" s="11">
        <f>AY$5+SUM(BA$5:BA174)+SUM(W$5:W174)-SUM(X$5:X174)</f>
        <v>125444.90719148572</v>
      </c>
      <c r="AZ175" s="11">
        <f t="shared" si="188"/>
        <v>-51.25621976231431</v>
      </c>
      <c r="BA175" s="11">
        <f t="shared" si="189"/>
        <v>-490.02</v>
      </c>
      <c r="BB175" s="11">
        <f t="shared" si="135"/>
        <v>-541.2762197623143</v>
      </c>
      <c r="BC175" s="11">
        <f t="shared" si="177"/>
        <v>-2127.810947507634</v>
      </c>
      <c r="BE175" s="172">
        <f t="shared" si="146"/>
        <v>0.0167</v>
      </c>
      <c r="BF175" s="44">
        <f>BE175+Podsumowanie!$E$6</f>
        <v>0.0287</v>
      </c>
      <c r="BG175" s="11">
        <f>BG$5+SUM(BH$5:BH174)+SUM(R$5:R174)-SUM(S$5:S174)</f>
        <v>337964.27939073916</v>
      </c>
      <c r="BH175" s="10">
        <f t="shared" si="137"/>
        <v>-953.5544582170027</v>
      </c>
      <c r="BI175" s="10">
        <f t="shared" si="190"/>
        <v>-808.2979015428513</v>
      </c>
      <c r="BJ175" s="10">
        <f>IF(U175&lt;0,PMT(BF175/12,Podsumowanie!E$8-SUM(AB$5:AB175)+1,BG175),0)</f>
        <v>-1761.852359759854</v>
      </c>
      <c r="BL175" s="11">
        <f>BL$5+SUM(BN$5:BN174)+SUM(R$5:R174)-SUM(S$5:S174)</f>
        <v>285236.7688022282</v>
      </c>
      <c r="BM175" s="11">
        <f t="shared" si="140"/>
        <v>-682.1912720519957</v>
      </c>
      <c r="BN175" s="11">
        <f t="shared" si="141"/>
        <v>-1114.206128133704</v>
      </c>
      <c r="BO175" s="11">
        <f t="shared" si="191"/>
        <v>-1796.3974001856996</v>
      </c>
      <c r="BQ175" s="44">
        <f t="shared" si="147"/>
        <v>0.0288</v>
      </c>
      <c r="BR175" s="11">
        <f>BR$5+SUM(BS$5:BS174)+SUM(R$5:R174)-SUM(S$5:S174)+SUM(BV$5:BV174)</f>
        <v>363251.9384942183</v>
      </c>
      <c r="BS175" s="10">
        <f t="shared" si="157"/>
        <v>-1023.7012761111215</v>
      </c>
      <c r="BT175" s="10">
        <f t="shared" si="158"/>
        <v>-871.8046523861238</v>
      </c>
      <c r="BU175" s="10">
        <f>IF(U175&lt;0,PMT(BQ175/12,Podsumowanie!E$8-SUM(AB$5:AB175)+1,BR175),0)</f>
        <v>-1895.5059284972453</v>
      </c>
      <c r="BV175" s="10">
        <f t="shared" si="152"/>
        <v>-385.42770828179846</v>
      </c>
      <c r="BX175" s="11">
        <f>BX$5+SUM(BZ$5:BZ174)+SUM(R$5:R174)-SUM(S$5:S174)+SUM(CB$5,CB174)</f>
        <v>284599.12676091655</v>
      </c>
      <c r="BY175" s="10">
        <f t="shared" si="148"/>
        <v>-683.0379042261998</v>
      </c>
      <c r="BZ175" s="10">
        <f t="shared" si="149"/>
        <v>-1111.7153389098303</v>
      </c>
      <c r="CA175" s="10">
        <f t="shared" si="159"/>
        <v>-1794.75324313603</v>
      </c>
      <c r="CB175" s="10">
        <f t="shared" si="160"/>
        <v>-486.18039364301376</v>
      </c>
      <c r="CD175" s="10">
        <f>CD$5+SUM(CE$5:CE174)+SUM(R$5:R174)-SUM(S$5:S174)-SUM(CF$5:CF174)</f>
        <v>341444.1365216257</v>
      </c>
      <c r="CE175" s="10">
        <f t="shared" si="153"/>
        <v>683.0379042261998</v>
      </c>
      <c r="CF175" s="10">
        <f t="shared" si="154"/>
        <v>2280.933636779044</v>
      </c>
      <c r="CG175" s="10">
        <f t="shared" si="155"/>
        <v>1597.895732552844</v>
      </c>
      <c r="CI175" s="44">
        <v>0.4907</v>
      </c>
      <c r="CJ175" s="10">
        <f t="shared" si="156"/>
        <v>-1119.25</v>
      </c>
      <c r="CK175" s="4">
        <f t="shared" si="161"/>
        <v>0</v>
      </c>
      <c r="CM175" s="10">
        <f t="shared" si="162"/>
        <v>-216607.08636213507</v>
      </c>
      <c r="CN175" s="4">
        <f t="shared" si="163"/>
        <v>-301.4448618539713</v>
      </c>
    </row>
    <row r="176" spans="1:92" ht="15.75">
      <c r="A176" s="36"/>
      <c r="B176" s="37">
        <v>42461</v>
      </c>
      <c r="C176" s="77">
        <f t="shared" si="144"/>
        <v>3.9311</v>
      </c>
      <c r="D176" s="78">
        <f>C176*(1+Podsumowanie!E$11)</f>
        <v>4.049033</v>
      </c>
      <c r="E176" s="34">
        <f t="shared" si="169"/>
        <v>-563.3279938145835</v>
      </c>
      <c r="F176" s="7">
        <f t="shared" si="170"/>
        <v>-2280.9336367790443</v>
      </c>
      <c r="G176" s="7">
        <f t="shared" si="174"/>
        <v>-1242.4683365655314</v>
      </c>
      <c r="H176" s="7">
        <f t="shared" si="171"/>
        <v>1038.4653002135128</v>
      </c>
      <c r="I176" s="32"/>
      <c r="K176" s="4">
        <f>IF(B176&lt;Podsumowanie!E$7,0,K175+1)</f>
        <v>106</v>
      </c>
      <c r="L176" s="100">
        <f t="shared" si="145"/>
        <v>-0.0074</v>
      </c>
      <c r="M176" s="38">
        <f>L176+Podsumowanie!E$6</f>
        <v>0.0046</v>
      </c>
      <c r="N176" s="101">
        <f>MAX(Podsumowanie!E$4+SUM(AA$5:AA175)-SUM(X$5:X176)+SUM(W$5:W176),0)</f>
        <v>137336.8100067857</v>
      </c>
      <c r="O176" s="102">
        <f>MAX(Podsumowanie!E$2+SUM(V$5:V175)-SUM(S$5:S176)+SUM(R$5:R176),0)</f>
        <v>302908.1454356263</v>
      </c>
      <c r="P176" s="39">
        <f t="shared" si="192"/>
        <v>360</v>
      </c>
      <c r="Q176" s="40" t="str">
        <f>IF(AND(K176&gt;0,K176&lt;=Podsumowanie!E$9),"tak","nie")</f>
        <v>nie</v>
      </c>
      <c r="R176" s="41"/>
      <c r="S176" s="42"/>
      <c r="T176" s="88">
        <f t="shared" si="178"/>
        <v>-116.11478908365676</v>
      </c>
      <c r="U176" s="89">
        <f>IF(Q176="tak",T176,IF(P176-SUM(AB$5:AB176)+1&gt;0,IF(Podsumowanie!E$7&lt;B176,IF(SUM(AB$5:AB176)-Podsumowanie!E$9+1&gt;0,PMT(M176/12,P176+1-SUM(AB$5:AB176),O176),T176),0),0))</f>
        <v>-1242.4683365655314</v>
      </c>
      <c r="V176" s="89">
        <f t="shared" si="173"/>
        <v>-1126.3535474818748</v>
      </c>
      <c r="W176" s="90" t="str">
        <f>IF(R176&gt;0,R176/(C176*(1-Podsumowanie!E$11))," ")</f>
        <v xml:space="preserve"> </v>
      </c>
      <c r="X176" s="90">
        <f t="shared" si="150"/>
        <v>0</v>
      </c>
      <c r="Y176" s="91">
        <f t="shared" si="168"/>
        <v>-52.64577716926785</v>
      </c>
      <c r="Z176" s="90">
        <f>IF(P176-SUM(AB$5:AB176)+1&gt;0,IF(Podsumowanie!E$7&lt;B176,IF(SUM(AB$5:AB176)-Podsumowanie!E$9+1&gt;0,PMT(M176/12,P176+1-SUM(AB$5:AB176),N176),Y176),0),0)</f>
        <v>-563.3279938145835</v>
      </c>
      <c r="AA176" s="90">
        <f t="shared" si="172"/>
        <v>-510.68221664531563</v>
      </c>
      <c r="AB176" s="8">
        <f>IF(AND(Podsumowanie!E$7&lt;B176,SUM(AB$5:AB175)&lt;P175),1," ")</f>
        <v>1</v>
      </c>
      <c r="AD176" s="51">
        <f>IF(OR(B176&lt;Podsumowanie!E$12,Podsumowanie!E$12=""),-F176+S176,0)</f>
        <v>2280.9336367790443</v>
      </c>
      <c r="AE176" s="51">
        <f t="shared" si="151"/>
        <v>0</v>
      </c>
      <c r="AG176" s="10">
        <f>Podsumowanie!E$4-SUM(AI$5:AI175)+SUM(W$42:W176)-SUM(X$42:X176)</f>
        <v>128819.62813555225</v>
      </c>
      <c r="AH176" s="10">
        <f t="shared" si="179"/>
        <v>49.38</v>
      </c>
      <c r="AI176" s="10">
        <f t="shared" si="180"/>
        <v>505.18</v>
      </c>
      <c r="AJ176" s="10">
        <f t="shared" si="193"/>
        <v>554.5600000000001</v>
      </c>
      <c r="AK176" s="10">
        <f t="shared" si="175"/>
        <v>2245.43</v>
      </c>
      <c r="AL176" s="10">
        <f>Podsumowanie!E$2-SUM(AN$5:AN175)+SUM(R$42:R176)-SUM(S$42:S176)</f>
        <v>284122.26999999984</v>
      </c>
      <c r="AM176" s="10">
        <f t="shared" si="181"/>
        <v>108.91</v>
      </c>
      <c r="AN176" s="10">
        <f t="shared" si="182"/>
        <v>1114.2</v>
      </c>
      <c r="AO176" s="10">
        <f t="shared" si="183"/>
        <v>1223.1100000000001</v>
      </c>
      <c r="AP176" s="10">
        <f t="shared" si="184"/>
        <v>1022.3199999999997</v>
      </c>
      <c r="AR176" s="43">
        <f t="shared" si="176"/>
        <v>42461</v>
      </c>
      <c r="AS176" s="11">
        <f>AS$5+SUM(AV$5:AV175)-SUM(X$5:X176)+SUM(W$5:W176)</f>
        <v>133216.7057065821</v>
      </c>
      <c r="AT176" s="10">
        <f t="shared" si="185"/>
        <v>-51.06640385418981</v>
      </c>
      <c r="AU176" s="10">
        <f>IF(AB176=1,IF(Q176="tak",AT176,PMT(M176/12,P176+1-SUM(AB$5:AB176),AS176)),0)</f>
        <v>-546.4281540001458</v>
      </c>
      <c r="AV176" s="10">
        <f t="shared" si="186"/>
        <v>-495.361750145956</v>
      </c>
      <c r="AW176" s="10">
        <f t="shared" si="187"/>
        <v>-2148.063716189973</v>
      </c>
      <c r="AY176" s="11">
        <f>AY$5+SUM(BA$5:BA175)+SUM(W$5:W175)-SUM(X$5:X175)</f>
        <v>124954.88719148573</v>
      </c>
      <c r="AZ176" s="11">
        <f t="shared" si="188"/>
        <v>-51.06640385418981</v>
      </c>
      <c r="BA176" s="11">
        <f t="shared" si="189"/>
        <v>-490.02</v>
      </c>
      <c r="BB176" s="11">
        <f aca="true" t="shared" si="194" ref="BB176:BB181">BA176+AZ176</f>
        <v>-541.0864038541898</v>
      </c>
      <c r="BC176" s="11">
        <f t="shared" si="177"/>
        <v>-2127.0647621912053</v>
      </c>
      <c r="BE176" s="172">
        <f t="shared" si="146"/>
        <v>0.0167</v>
      </c>
      <c r="BF176" s="44">
        <f>BE176+Podsumowanie!$E$6</f>
        <v>0.0287</v>
      </c>
      <c r="BG176" s="11">
        <f>BG$5+SUM(BH$5:BH175)+SUM(R$5:R175)-SUM(S$5:S175)</f>
        <v>337010.72493252216</v>
      </c>
      <c r="BH176" s="10">
        <f t="shared" si="137"/>
        <v>-955.8350426295715</v>
      </c>
      <c r="BI176" s="10">
        <f t="shared" si="190"/>
        <v>-806.0173171302822</v>
      </c>
      <c r="BJ176" s="10">
        <f>IF(U176&lt;0,PMT(BF176/12,Podsumowanie!E$8-SUM(AB$5:AB176)+1,BG176),0)</f>
        <v>-1761.8523597598537</v>
      </c>
      <c r="BL176" s="11">
        <f>BL$5+SUM(BN$5:BN175)+SUM(R$5:R175)-SUM(S$5:S175)</f>
        <v>284122.5626740945</v>
      </c>
      <c r="BM176" s="11">
        <f t="shared" si="140"/>
        <v>-679.5264623955427</v>
      </c>
      <c r="BN176" s="11">
        <f t="shared" si="141"/>
        <v>-1114.206128133704</v>
      </c>
      <c r="BO176" s="11">
        <f t="shared" si="191"/>
        <v>-1793.7325905292466</v>
      </c>
      <c r="BQ176" s="44">
        <f t="shared" si="147"/>
        <v>0.0288</v>
      </c>
      <c r="BR176" s="11">
        <f>BR$5+SUM(BS$5:BS175)+SUM(R$5:R175)-SUM(S$5:S175)+SUM(BV$5:BV175)</f>
        <v>361842.80950982525</v>
      </c>
      <c r="BS176" s="10">
        <f t="shared" si="157"/>
        <v>-1025.0662791186537</v>
      </c>
      <c r="BT176" s="10">
        <f t="shared" si="158"/>
        <v>-868.4227428235805</v>
      </c>
      <c r="BU176" s="10">
        <f>IF(U176&lt;0,PMT(BQ176/12,Podsumowanie!E$8-SUM(AB$5:AB176)+1,BR176),0)</f>
        <v>-1893.4890219422343</v>
      </c>
      <c r="BV176" s="10">
        <f t="shared" si="152"/>
        <v>-387.44461483680993</v>
      </c>
      <c r="BX176" s="11">
        <f>BX$5+SUM(BZ$5:BZ175)+SUM(R$5:R175)-SUM(S$5:S175)+SUM(CB$5,CB175)</f>
        <v>283513.92120438983</v>
      </c>
      <c r="BY176" s="10">
        <f t="shared" si="148"/>
        <v>-680.4334108905356</v>
      </c>
      <c r="BZ176" s="10">
        <f t="shared" si="149"/>
        <v>-1111.8192988407445</v>
      </c>
      <c r="CA176" s="10">
        <f t="shared" si="159"/>
        <v>-1792.25270973128</v>
      </c>
      <c r="CB176" s="10">
        <f t="shared" si="160"/>
        <v>-488.68092704776427</v>
      </c>
      <c r="CD176" s="10">
        <f>CD$5+SUM(CE$5:CE175)+SUM(R$5:R175)-SUM(S$5:S175)-SUM(CF$5:CF175)</f>
        <v>339846.2407890729</v>
      </c>
      <c r="CE176" s="10">
        <f t="shared" si="153"/>
        <v>680.4334108905356</v>
      </c>
      <c r="CF176" s="10">
        <f t="shared" si="154"/>
        <v>2280.9336367790443</v>
      </c>
      <c r="CG176" s="10">
        <f t="shared" si="155"/>
        <v>1600.5002258885088</v>
      </c>
      <c r="CI176" s="44">
        <v>0.4892</v>
      </c>
      <c r="CJ176" s="10">
        <f t="shared" si="156"/>
        <v>-1115.83</v>
      </c>
      <c r="CK176" s="4">
        <f t="shared" si="161"/>
        <v>0</v>
      </c>
      <c r="CM176" s="10">
        <f t="shared" si="162"/>
        <v>-218888.01999891413</v>
      </c>
      <c r="CN176" s="4">
        <f t="shared" si="163"/>
        <v>-304.6191611651555</v>
      </c>
    </row>
    <row r="177" spans="1:92" ht="15.75">
      <c r="A177" s="36"/>
      <c r="B177" s="37">
        <v>42491</v>
      </c>
      <c r="C177" s="77">
        <f t="shared" si="144"/>
        <v>3.9874</v>
      </c>
      <c r="D177" s="78">
        <f>C177*(1+Podsumowanie!E$11)</f>
        <v>4.107022</v>
      </c>
      <c r="E177" s="34">
        <f aca="true" t="shared" si="195" ref="E177:E185">Z177</f>
        <v>-563.3279938145836</v>
      </c>
      <c r="F177" s="7">
        <f aca="true" t="shared" si="196" ref="F177:F185">E177*D177</f>
        <v>-2313.6004638123586</v>
      </c>
      <c r="G177" s="7">
        <f aca="true" t="shared" si="197" ref="G177:G185">U177</f>
        <v>-1242.4683365655317</v>
      </c>
      <c r="H177" s="7">
        <f aca="true" t="shared" si="198" ref="H177:H185">G177-F177</f>
        <v>1071.132127246827</v>
      </c>
      <c r="I177" s="32"/>
      <c r="K177" s="4">
        <f>IF(B177&lt;Podsumowanie!E$7,0,K176+1)</f>
        <v>107</v>
      </c>
      <c r="L177" s="100">
        <f t="shared" si="145"/>
        <v>-0.0074</v>
      </c>
      <c r="M177" s="38">
        <f>L177+Podsumowanie!E$6</f>
        <v>0.0046</v>
      </c>
      <c r="N177" s="101">
        <f>MAX(Podsumowanie!E$4+SUM(AA$5:AA176)-SUM(X$5:X177)+SUM(W$5:W177),0)</f>
        <v>136826.1277901404</v>
      </c>
      <c r="O177" s="102">
        <f>MAX(Podsumowanie!E$2+SUM(V$5:V176)-SUM(S$5:S177)+SUM(R$5:R177),0)</f>
        <v>301781.79188814445</v>
      </c>
      <c r="P177" s="39">
        <f t="shared" si="192"/>
        <v>360</v>
      </c>
      <c r="Q177" s="40" t="str">
        <f>IF(AND(K177&gt;0,K177&lt;=Podsumowanie!E$9),"tak","nie")</f>
        <v>nie</v>
      </c>
      <c r="R177" s="41"/>
      <c r="S177" s="42"/>
      <c r="T177" s="88">
        <f t="shared" si="178"/>
        <v>-115.68302022378872</v>
      </c>
      <c r="U177" s="89">
        <f>IF(Q177="tak",T177,IF(P177-SUM(AB$5:AB177)+1&gt;0,IF(Podsumowanie!E$7&lt;B177,IF(SUM(AB$5:AB177)-Podsumowanie!E$9+1&gt;0,PMT(M177/12,P177+1-SUM(AB$5:AB177),O177),T177),0),0))</f>
        <v>-1242.4683365655317</v>
      </c>
      <c r="V177" s="89">
        <f aca="true" t="shared" si="199" ref="V177:V185">U177-T177</f>
        <v>-1126.785316341743</v>
      </c>
      <c r="W177" s="90" t="str">
        <f>IF(R177&gt;0,R177/(C177*(1-Podsumowanie!E$11))," ")</f>
        <v xml:space="preserve"> </v>
      </c>
      <c r="X177" s="90">
        <f t="shared" si="150"/>
        <v>0</v>
      </c>
      <c r="Y177" s="91">
        <f t="shared" si="168"/>
        <v>-52.45001565288715</v>
      </c>
      <c r="Z177" s="90">
        <f>IF(P177-SUM(AB$5:AB177)+1&gt;0,IF(Podsumowanie!E$7&lt;B177,IF(SUM(AB$5:AB177)-Podsumowanie!E$9+1&gt;0,PMT(M177/12,P177+1-SUM(AB$5:AB177),N177),Y177),0),0)</f>
        <v>-563.3279938145836</v>
      </c>
      <c r="AA177" s="90">
        <f aca="true" t="shared" si="200" ref="AA177:AA185">Z177-Y177</f>
        <v>-510.87797816169643</v>
      </c>
      <c r="AB177" s="8">
        <f>IF(AND(Podsumowanie!E$7&lt;B177,SUM(AB$5:AB176)&lt;P176),1," ")</f>
        <v>1</v>
      </c>
      <c r="AD177" s="51">
        <f>IF(OR(B177&lt;Podsumowanie!E$12,Podsumowanie!E$12=""),-F177+S177,0)</f>
        <v>2313.6004638123586</v>
      </c>
      <c r="AE177" s="51">
        <f t="shared" si="151"/>
        <v>0</v>
      </c>
      <c r="AG177" s="10">
        <f>Podsumowanie!E$4-SUM(AI$5:AI176)+SUM(W$42:W177)-SUM(X$42:X177)</f>
        <v>128314.44813555226</v>
      </c>
      <c r="AH177" s="10">
        <f t="shared" si="179"/>
        <v>49.19</v>
      </c>
      <c r="AI177" s="10">
        <f t="shared" si="180"/>
        <v>505.17</v>
      </c>
      <c r="AJ177" s="10">
        <f aca="true" t="shared" si="201" ref="AJ177:AJ185">AI177+AH177</f>
        <v>554.36</v>
      </c>
      <c r="AK177" s="10">
        <f t="shared" si="175"/>
        <v>2276.77</v>
      </c>
      <c r="AL177" s="10">
        <f>Podsumowanie!E$2-SUM(AN$5:AN176)+SUM(R$42:R177)-SUM(S$42:S177)</f>
        <v>283008.06999999983</v>
      </c>
      <c r="AM177" s="10">
        <f t="shared" si="181"/>
        <v>108.49</v>
      </c>
      <c r="AN177" s="10">
        <f t="shared" si="182"/>
        <v>1114.21</v>
      </c>
      <c r="AO177" s="10">
        <f aca="true" t="shared" si="202" ref="AO177:AO185">AN177+AM177</f>
        <v>1222.7</v>
      </c>
      <c r="AP177" s="10">
        <f aca="true" t="shared" si="203" ref="AP177:AP185">AK177-AO177</f>
        <v>1054.07</v>
      </c>
      <c r="AR177" s="43">
        <f t="shared" si="176"/>
        <v>42491</v>
      </c>
      <c r="AS177" s="11">
        <f>AS$5+SUM(AV$5:AV176)-SUM(X$5:X177)+SUM(W$5:W177)</f>
        <v>132721.34395643615</v>
      </c>
      <c r="AT177" s="10">
        <f t="shared" si="185"/>
        <v>-50.87651518330052</v>
      </c>
      <c r="AU177" s="10">
        <f>IF(AB177=1,IF(Q177="tak",AT177,PMT(M177/12,P177+1-SUM(AB$5:AB177),AS177)),0)</f>
        <v>-546.4281540001459</v>
      </c>
      <c r="AV177" s="10">
        <f t="shared" si="186"/>
        <v>-495.5516388168454</v>
      </c>
      <c r="AW177" s="10">
        <f t="shared" si="187"/>
        <v>-2178.827621260182</v>
      </c>
      <c r="AY177" s="11">
        <f>AY$5+SUM(BA$5:BA176)+SUM(W$5:W176)-SUM(X$5:X176)</f>
        <v>124464.86719148573</v>
      </c>
      <c r="AZ177" s="11">
        <f t="shared" si="188"/>
        <v>-50.87651518330052</v>
      </c>
      <c r="BA177" s="11">
        <f t="shared" si="189"/>
        <v>-490.02</v>
      </c>
      <c r="BB177" s="11">
        <f t="shared" si="194"/>
        <v>-540.8965151833005</v>
      </c>
      <c r="BC177" s="11">
        <f t="shared" si="177"/>
        <v>-2156.7707646418926</v>
      </c>
      <c r="BE177" s="172">
        <f t="shared" si="146"/>
        <v>0.0167</v>
      </c>
      <c r="BF177" s="44">
        <f>BE177+Podsumowanie!$E$6</f>
        <v>0.0287</v>
      </c>
      <c r="BG177" s="11">
        <f>BG$5+SUM(BH$5:BH176)+SUM(R$5:R176)-SUM(S$5:S176)</f>
        <v>336054.8898898926</v>
      </c>
      <c r="BH177" s="10">
        <f aca="true" t="shared" si="204" ref="BH177:BH185">IF(BJ177&lt;0,BJ177-BI177,0)</f>
        <v>-958.1210814398607</v>
      </c>
      <c r="BI177" s="10">
        <f aca="true" t="shared" si="205" ref="BI177:BI185">IF(BJ177&lt;0,-BG177*BF177/12,0)</f>
        <v>-803.7312783199932</v>
      </c>
      <c r="BJ177" s="10">
        <f>IF(U177&lt;0,PMT(BF177/12,Podsumowanie!E$8-SUM(AB$5:AB177)+1,BG177),0)</f>
        <v>-1761.852359759854</v>
      </c>
      <c r="BL177" s="11">
        <f>BL$5+SUM(BN$5:BN176)+SUM(R$5:R176)-SUM(S$5:S176)</f>
        <v>283008.35654596076</v>
      </c>
      <c r="BM177" s="11">
        <f t="shared" si="140"/>
        <v>-676.8616527390894</v>
      </c>
      <c r="BN177" s="11">
        <f t="shared" si="141"/>
        <v>-1114.2061281337037</v>
      </c>
      <c r="BO177" s="11">
        <f t="shared" si="191"/>
        <v>-1791.0677808727933</v>
      </c>
      <c r="BQ177" s="44">
        <f t="shared" si="147"/>
        <v>0.0288</v>
      </c>
      <c r="BR177" s="11">
        <f>BR$5+SUM(BS$5:BS176)+SUM(R$5:R176)-SUM(S$5:S176)+SUM(BV$5:BV176)</f>
        <v>360430.29861586983</v>
      </c>
      <c r="BS177" s="10">
        <f t="shared" si="157"/>
        <v>-1026.4230845077745</v>
      </c>
      <c r="BT177" s="10">
        <f t="shared" si="158"/>
        <v>-865.0327166780876</v>
      </c>
      <c r="BU177" s="10">
        <f>IF(U177&lt;0,PMT(BQ177/12,Podsumowanie!E$8-SUM(AB$5:AB177)+1,BR177),0)</f>
        <v>-1891.4558011858621</v>
      </c>
      <c r="BV177" s="10">
        <f t="shared" si="152"/>
        <v>-422.1446626264965</v>
      </c>
      <c r="BX177" s="11">
        <f>BX$5+SUM(BZ$5:BZ176)+SUM(R$5:R176)-SUM(S$5:S176)+SUM(CB$5,CB176)</f>
        <v>282399.60137214436</v>
      </c>
      <c r="BY177" s="10">
        <f t="shared" si="148"/>
        <v>-677.7590432931464</v>
      </c>
      <c r="BZ177" s="10">
        <f t="shared" si="149"/>
        <v>-1111.8094542210408</v>
      </c>
      <c r="CA177" s="10">
        <f t="shared" si="159"/>
        <v>-1789.5684975141871</v>
      </c>
      <c r="CB177" s="10">
        <f t="shared" si="160"/>
        <v>-524.0319662981715</v>
      </c>
      <c r="CD177" s="10">
        <f>CD$5+SUM(CE$5:CE176)+SUM(R$5:R176)-SUM(S$5:S176)-SUM(CF$5:CF176)</f>
        <v>338245.7405631845</v>
      </c>
      <c r="CE177" s="10">
        <f t="shared" si="153"/>
        <v>677.7590432931464</v>
      </c>
      <c r="CF177" s="10">
        <f t="shared" si="154"/>
        <v>2313.6004638123586</v>
      </c>
      <c r="CG177" s="10">
        <f t="shared" si="155"/>
        <v>1635.841420519212</v>
      </c>
      <c r="CI177" s="44">
        <v>0.4848</v>
      </c>
      <c r="CJ177" s="10">
        <f t="shared" si="156"/>
        <v>-1121.63</v>
      </c>
      <c r="CK177" s="4">
        <f t="shared" si="161"/>
        <v>0</v>
      </c>
      <c r="CM177" s="10">
        <f t="shared" si="162"/>
        <v>-221201.62046272648</v>
      </c>
      <c r="CN177" s="4">
        <f t="shared" si="163"/>
        <v>-307.8389218106277</v>
      </c>
    </row>
    <row r="178" spans="1:92" ht="15.75">
      <c r="A178" s="36"/>
      <c r="B178" s="37">
        <v>42522</v>
      </c>
      <c r="C178" s="77">
        <f t="shared" si="144"/>
        <v>4.0374</v>
      </c>
      <c r="D178" s="78">
        <f>C178*(1+Podsumowanie!E$11)</f>
        <v>4.158522</v>
      </c>
      <c r="E178" s="34">
        <f t="shared" si="195"/>
        <v>-563.3279938145834</v>
      </c>
      <c r="F178" s="7">
        <f t="shared" si="196"/>
        <v>-2342.6118554938084</v>
      </c>
      <c r="G178" s="7">
        <f t="shared" si="197"/>
        <v>-1242.4683365655312</v>
      </c>
      <c r="H178" s="7">
        <f t="shared" si="198"/>
        <v>1100.1435189282772</v>
      </c>
      <c r="I178" s="32"/>
      <c r="K178" s="4">
        <f>IF(B178&lt;Podsumowanie!E$7,0,K177+1)</f>
        <v>108</v>
      </c>
      <c r="L178" s="100">
        <f t="shared" si="145"/>
        <v>-0.0074</v>
      </c>
      <c r="M178" s="38">
        <f>L178+Podsumowanie!E$6</f>
        <v>0.0046</v>
      </c>
      <c r="N178" s="101">
        <f>MAX(Podsumowanie!E$4+SUM(AA$5:AA177)-SUM(X$5:X178)+SUM(W$5:W178),0)</f>
        <v>136315.2498119787</v>
      </c>
      <c r="O178" s="102">
        <f>MAX(Podsumowanie!E$2+SUM(V$5:V177)-SUM(S$5:S178)+SUM(R$5:R178),0)</f>
        <v>300655.0065718027</v>
      </c>
      <c r="P178" s="39">
        <f t="shared" si="192"/>
        <v>360</v>
      </c>
      <c r="Q178" s="40" t="str">
        <f>IF(AND(K178&gt;0,K178&lt;=Podsumowanie!E$9),"tak","nie")</f>
        <v>nie</v>
      </c>
      <c r="R178" s="41"/>
      <c r="S178" s="42"/>
      <c r="T178" s="88">
        <f t="shared" si="178"/>
        <v>-115.25108585252438</v>
      </c>
      <c r="U178" s="89">
        <f>IF(Q178="tak",T178,IF(P178-SUM(AB$5:AB178)+1&gt;0,IF(Podsumowanie!E$7&lt;B178,IF(SUM(AB$5:AB178)-Podsumowanie!E$9+1&gt;0,PMT(M178/12,P178+1-SUM(AB$5:AB178),O178),T178),0),0))</f>
        <v>-1242.4683365655312</v>
      </c>
      <c r="V178" s="89">
        <f t="shared" si="199"/>
        <v>-1127.217250713007</v>
      </c>
      <c r="W178" s="90" t="str">
        <f>IF(R178&gt;0,R178/(C178*(1-Podsumowanie!E$11))," ")</f>
        <v xml:space="preserve"> </v>
      </c>
      <c r="X178" s="90">
        <f t="shared" si="150"/>
        <v>0</v>
      </c>
      <c r="Y178" s="91">
        <f t="shared" si="168"/>
        <v>-52.25417909459183</v>
      </c>
      <c r="Z178" s="90">
        <f>IF(P178-SUM(AB$5:AB178)+1&gt;0,IF(Podsumowanie!E$7&lt;B178,IF(SUM(AB$5:AB178)-Podsumowanie!E$9+1&gt;0,PMT(M178/12,P178+1-SUM(AB$5:AB178),N178),Y178),0),0)</f>
        <v>-563.3279938145834</v>
      </c>
      <c r="AA178" s="90">
        <f t="shared" si="200"/>
        <v>-511.0738147199915</v>
      </c>
      <c r="AB178" s="8">
        <f>IF(AND(Podsumowanie!E$7&lt;B178,SUM(AB$5:AB177)&lt;P177),1," ")</f>
        <v>1</v>
      </c>
      <c r="AD178" s="51">
        <f>IF(OR(B178&lt;Podsumowanie!E$12,Podsumowanie!E$12=""),-F178+S178,0)</f>
        <v>2342.6118554938084</v>
      </c>
      <c r="AE178" s="51">
        <f t="shared" si="151"/>
        <v>0</v>
      </c>
      <c r="AG178" s="10">
        <f>Podsumowanie!E$4-SUM(AI$5:AI177)+SUM(W$42:W178)-SUM(X$42:X178)</f>
        <v>127809.27813555225</v>
      </c>
      <c r="AH178" s="10">
        <f t="shared" si="179"/>
        <v>48.99</v>
      </c>
      <c r="AI178" s="10">
        <f t="shared" si="180"/>
        <v>505.18</v>
      </c>
      <c r="AJ178" s="10">
        <f t="shared" si="201"/>
        <v>554.17</v>
      </c>
      <c r="AK178" s="10">
        <f t="shared" si="175"/>
        <v>2304.53</v>
      </c>
      <c r="AL178" s="10">
        <f>Podsumowanie!E$2-SUM(AN$5:AN177)+SUM(R$42:R178)-SUM(S$42:S178)</f>
        <v>281893.85999999987</v>
      </c>
      <c r="AM178" s="10">
        <f t="shared" si="181"/>
        <v>108.06</v>
      </c>
      <c r="AN178" s="10">
        <f t="shared" si="182"/>
        <v>1114.2</v>
      </c>
      <c r="AO178" s="10">
        <f t="shared" si="202"/>
        <v>1222.26</v>
      </c>
      <c r="AP178" s="10">
        <f t="shared" si="203"/>
        <v>1082.2700000000002</v>
      </c>
      <c r="AR178" s="43">
        <f t="shared" si="176"/>
        <v>42522</v>
      </c>
      <c r="AS178" s="11">
        <f>AS$5+SUM(AV$5:AV177)-SUM(X$5:X178)+SUM(W$5:W178)</f>
        <v>132225.79231761929</v>
      </c>
      <c r="AT178" s="10">
        <f t="shared" si="185"/>
        <v>-50.68655372175406</v>
      </c>
      <c r="AU178" s="10">
        <f>IF(AB178=1,IF(Q178="tak",AT178,PMT(M178/12,P178+1-SUM(AB$5:AB178),AS178)),0)</f>
        <v>-546.4281540001457</v>
      </c>
      <c r="AV178" s="10">
        <f t="shared" si="186"/>
        <v>-495.7416002783916</v>
      </c>
      <c r="AW178" s="10">
        <f t="shared" si="187"/>
        <v>-2206.1490289601884</v>
      </c>
      <c r="AY178" s="11">
        <f>AY$5+SUM(BA$5:BA177)+SUM(W$5:W177)-SUM(X$5:X177)</f>
        <v>123974.84719148572</v>
      </c>
      <c r="AZ178" s="11">
        <f t="shared" si="188"/>
        <v>-50.68655372175406</v>
      </c>
      <c r="BA178" s="11">
        <f t="shared" si="189"/>
        <v>-490.02</v>
      </c>
      <c r="BB178" s="11">
        <f t="shared" si="194"/>
        <v>-540.7065537217541</v>
      </c>
      <c r="BC178" s="11">
        <f t="shared" si="177"/>
        <v>-2183.0486399962097</v>
      </c>
      <c r="BE178" s="172">
        <f t="shared" si="146"/>
        <v>0.0169</v>
      </c>
      <c r="BF178" s="44">
        <f>BE178+Podsumowanie!$E$6</f>
        <v>0.0289</v>
      </c>
      <c r="BG178" s="11">
        <f>BG$5+SUM(BH$5:BH177)+SUM(R$5:R177)-SUM(S$5:S177)</f>
        <v>335096.76880845276</v>
      </c>
      <c r="BH178" s="10">
        <f t="shared" si="204"/>
        <v>-958.1906052965118</v>
      </c>
      <c r="BI178" s="10">
        <f t="shared" si="205"/>
        <v>-807.0247182136903</v>
      </c>
      <c r="BJ178" s="10">
        <f>IF(U178&lt;0,PMT(BF178/12,Podsumowanie!E$8-SUM(AB$5:AB178)+1,BG178),0)</f>
        <v>-1765.215323510202</v>
      </c>
      <c r="BL178" s="11">
        <f>BL$5+SUM(BN$5:BN177)+SUM(R$5:R177)-SUM(S$5:S177)</f>
        <v>281894.15041782707</v>
      </c>
      <c r="BM178" s="11">
        <f t="shared" si="140"/>
        <v>-678.8950789229335</v>
      </c>
      <c r="BN178" s="11">
        <f t="shared" si="141"/>
        <v>-1114.206128133704</v>
      </c>
      <c r="BO178" s="11">
        <f t="shared" si="191"/>
        <v>-1793.1012070566376</v>
      </c>
      <c r="BQ178" s="44">
        <f t="shared" si="147"/>
        <v>0.028999999999999998</v>
      </c>
      <c r="BR178" s="11">
        <f>BR$5+SUM(BS$5:BS177)+SUM(R$5:R177)-SUM(S$5:S177)+SUM(BV$5:BV177)</f>
        <v>358981.7308687356</v>
      </c>
      <c r="BS178" s="10">
        <f t="shared" si="157"/>
        <v>-1025.2996677904575</v>
      </c>
      <c r="BT178" s="10">
        <f t="shared" si="158"/>
        <v>-867.5391829327776</v>
      </c>
      <c r="BU178" s="10">
        <f>IF(U178&lt;0,PMT(BQ178/12,Podsumowanie!E$8-SUM(AB$5:AB178)+1,BR178),0)</f>
        <v>-1892.838850723235</v>
      </c>
      <c r="BV178" s="10">
        <f t="shared" si="152"/>
        <v>-449.7730047705734</v>
      </c>
      <c r="BX178" s="11">
        <f>BX$5+SUM(BZ$5:BZ177)+SUM(R$5:R177)-SUM(S$5:S177)+SUM(CB$5,CB177)</f>
        <v>281252.4408786729</v>
      </c>
      <c r="BY178" s="10">
        <f t="shared" si="148"/>
        <v>-679.693398790126</v>
      </c>
      <c r="BZ178" s="10">
        <f t="shared" si="149"/>
        <v>-1111.6697267931734</v>
      </c>
      <c r="CA178" s="10">
        <f t="shared" si="159"/>
        <v>-1791.3631255832993</v>
      </c>
      <c r="CB178" s="10">
        <f t="shared" si="160"/>
        <v>-551.2487299105092</v>
      </c>
      <c r="CD178" s="10">
        <f>CD$5+SUM(CE$5:CE177)+SUM(R$5:R177)-SUM(S$5:S177)-SUM(CF$5:CF177)</f>
        <v>336609.8991426652</v>
      </c>
      <c r="CE178" s="10">
        <f t="shared" si="153"/>
        <v>679.693398790126</v>
      </c>
      <c r="CF178" s="10">
        <f t="shared" si="154"/>
        <v>2342.6118554938084</v>
      </c>
      <c r="CG178" s="10">
        <f t="shared" si="155"/>
        <v>1662.9184567036823</v>
      </c>
      <c r="CI178" s="44">
        <v>0.4833</v>
      </c>
      <c r="CJ178" s="10">
        <f t="shared" si="156"/>
        <v>-1132.18</v>
      </c>
      <c r="CK178" s="4">
        <f t="shared" si="161"/>
        <v>0</v>
      </c>
      <c r="CM178" s="10">
        <f t="shared" si="162"/>
        <v>-223544.23231822028</v>
      </c>
      <c r="CN178" s="4">
        <f t="shared" si="163"/>
        <v>-314.8247938481602</v>
      </c>
    </row>
    <row r="179" spans="1:92" ht="15.75">
      <c r="A179" s="36"/>
      <c r="B179" s="37">
        <v>42552</v>
      </c>
      <c r="C179" s="77">
        <f t="shared" si="144"/>
        <v>4.0465</v>
      </c>
      <c r="D179" s="78">
        <f>C179*(1+Podsumowanie!E$11)</f>
        <v>4.167895</v>
      </c>
      <c r="E179" s="34">
        <f t="shared" si="195"/>
        <v>-563.3279938145834</v>
      </c>
      <c r="F179" s="7">
        <f t="shared" si="196"/>
        <v>-2347.8919287798326</v>
      </c>
      <c r="G179" s="7">
        <f t="shared" si="197"/>
        <v>-1242.4683365655312</v>
      </c>
      <c r="H179" s="7">
        <f t="shared" si="198"/>
        <v>1105.4235922143014</v>
      </c>
      <c r="I179" s="32"/>
      <c r="K179" s="4">
        <f>IF(B179&lt;Podsumowanie!E$7,0,K178+1)</f>
        <v>109</v>
      </c>
      <c r="L179" s="100">
        <f t="shared" si="145"/>
        <v>-0.0074</v>
      </c>
      <c r="M179" s="38">
        <f>L179+Podsumowanie!E$6</f>
        <v>0.0046</v>
      </c>
      <c r="N179" s="101">
        <f>MAX(Podsumowanie!E$4+SUM(AA$5:AA178)-SUM(X$5:X179)+SUM(W$5:W179),0)</f>
        <v>135804.1759972587</v>
      </c>
      <c r="O179" s="102">
        <f>MAX(Podsumowanie!E$2+SUM(V$5:V178)-SUM(S$5:S179)+SUM(R$5:R179),0)</f>
        <v>299527.7893210897</v>
      </c>
      <c r="P179" s="39">
        <f t="shared" si="192"/>
        <v>360</v>
      </c>
      <c r="Q179" s="40" t="str">
        <f>IF(AND(K179&gt;0,K179&lt;=Podsumowanie!E$9),"tak","nie")</f>
        <v>nie</v>
      </c>
      <c r="R179" s="41"/>
      <c r="S179" s="42"/>
      <c r="T179" s="88">
        <f t="shared" si="178"/>
        <v>-114.81898590641771</v>
      </c>
      <c r="U179" s="89">
        <f>IF(Q179="tak",T179,IF(P179-SUM(AB$5:AB179)+1&gt;0,IF(Podsumowanie!E$7&lt;B179,IF(SUM(AB$5:AB179)-Podsumowanie!E$9+1&gt;0,PMT(M179/12,P179+1-SUM(AB$5:AB179),O179),T179),0),0))</f>
        <v>-1242.4683365655312</v>
      </c>
      <c r="V179" s="89">
        <f t="shared" si="199"/>
        <v>-1127.6493506591135</v>
      </c>
      <c r="W179" s="90" t="str">
        <f>IF(R179&gt;0,R179/(C179*(1-Podsumowanie!E$11))," ")</f>
        <v xml:space="preserve"> </v>
      </c>
      <c r="X179" s="90">
        <f t="shared" si="150"/>
        <v>0</v>
      </c>
      <c r="Y179" s="91">
        <f t="shared" si="168"/>
        <v>-52.058267465615835</v>
      </c>
      <c r="Z179" s="90">
        <f>IF(P179-SUM(AB$5:AB179)+1&gt;0,IF(Podsumowanie!E$7&lt;B179,IF(SUM(AB$5:AB179)-Podsumowanie!E$9+1&gt;0,PMT(M179/12,P179+1-SUM(AB$5:AB179),N179),Y179),0),0)</f>
        <v>-563.3279938145834</v>
      </c>
      <c r="AA179" s="90">
        <f t="shared" si="200"/>
        <v>-511.26972634896754</v>
      </c>
      <c r="AB179" s="8">
        <f>IF(AND(Podsumowanie!E$7&lt;B179,SUM(AB$5:AB178)&lt;P178),1," ")</f>
        <v>1</v>
      </c>
      <c r="AD179" s="51">
        <f>IF(OR(B179&lt;Podsumowanie!E$12,Podsumowanie!E$12=""),-F179+S179,0)</f>
        <v>2347.8919287798326</v>
      </c>
      <c r="AE179" s="51">
        <f t="shared" si="151"/>
        <v>0</v>
      </c>
      <c r="AG179" s="10">
        <f>Podsumowanie!E$4-SUM(AI$5:AI178)+SUM(W$42:W179)-SUM(X$42:X179)</f>
        <v>127304.09813555225</v>
      </c>
      <c r="AH179" s="10">
        <f t="shared" si="179"/>
        <v>48.8</v>
      </c>
      <c r="AI179" s="10">
        <f t="shared" si="180"/>
        <v>505.17</v>
      </c>
      <c r="AJ179" s="10">
        <f t="shared" si="201"/>
        <v>553.97</v>
      </c>
      <c r="AK179" s="10">
        <f t="shared" si="175"/>
        <v>2308.89</v>
      </c>
      <c r="AL179" s="10">
        <f>Podsumowanie!E$2-SUM(AN$5:AN178)+SUM(R$42:R179)-SUM(S$42:S179)</f>
        <v>280779.65999999986</v>
      </c>
      <c r="AM179" s="10">
        <f t="shared" si="181"/>
        <v>107.63</v>
      </c>
      <c r="AN179" s="10">
        <f t="shared" si="182"/>
        <v>1114.21</v>
      </c>
      <c r="AO179" s="10">
        <f t="shared" si="202"/>
        <v>1221.8400000000001</v>
      </c>
      <c r="AP179" s="10">
        <f t="shared" si="203"/>
        <v>1087.0499999999997</v>
      </c>
      <c r="AR179" s="43">
        <f t="shared" si="176"/>
        <v>42552</v>
      </c>
      <c r="AS179" s="11">
        <f>AS$5+SUM(AV$5:AV178)-SUM(X$5:X179)+SUM(W$5:W179)</f>
        <v>131730.0507173409</v>
      </c>
      <c r="AT179" s="10">
        <f t="shared" si="185"/>
        <v>-50.496519441647344</v>
      </c>
      <c r="AU179" s="10">
        <f>IF(AB179=1,IF(Q179="tak",AT179,PMT(M179/12,P179+1-SUM(AB$5:AB179),AS179)),0)</f>
        <v>-546.4281540001458</v>
      </c>
      <c r="AV179" s="10">
        <f t="shared" si="186"/>
        <v>-495.93163455849844</v>
      </c>
      <c r="AW179" s="10">
        <f t="shared" si="187"/>
        <v>-2211.12152516159</v>
      </c>
      <c r="AY179" s="11">
        <f>AY$5+SUM(BA$5:BA178)+SUM(W$5:W178)-SUM(X$5:X178)</f>
        <v>123484.82719148573</v>
      </c>
      <c r="AZ179" s="11">
        <f t="shared" si="188"/>
        <v>-50.496519441647344</v>
      </c>
      <c r="BA179" s="11">
        <f t="shared" si="189"/>
        <v>-490.02</v>
      </c>
      <c r="BB179" s="11">
        <f t="shared" si="194"/>
        <v>-540.5165194416473</v>
      </c>
      <c r="BC179" s="11">
        <f t="shared" si="177"/>
        <v>-2187.200095920626</v>
      </c>
      <c r="BE179" s="172">
        <f t="shared" si="146"/>
        <v>0.0171</v>
      </c>
      <c r="BF179" s="44">
        <f>BE179+Podsumowanie!$E$6</f>
        <v>0.0291</v>
      </c>
      <c r="BG179" s="11">
        <f>BG$5+SUM(BH$5:BH178)+SUM(R$5:R178)-SUM(S$5:S178)</f>
        <v>334138.57820315624</v>
      </c>
      <c r="BH179" s="10">
        <f t="shared" si="204"/>
        <v>-958.2842772262121</v>
      </c>
      <c r="BI179" s="10">
        <f t="shared" si="205"/>
        <v>-810.2860521426538</v>
      </c>
      <c r="BJ179" s="10">
        <f>IF(U179&lt;0,PMT(BF179/12,Podsumowanie!E$8-SUM(AB$5:AB179)+1,BG179),0)</f>
        <v>-1768.570329368866</v>
      </c>
      <c r="BL179" s="11">
        <f>BL$5+SUM(BN$5:BN178)+SUM(R$5:R178)-SUM(S$5:S178)</f>
        <v>280779.9442896934</v>
      </c>
      <c r="BM179" s="11">
        <f t="shared" si="140"/>
        <v>-680.8913649025064</v>
      </c>
      <c r="BN179" s="11">
        <f t="shared" si="141"/>
        <v>-1114.206128133704</v>
      </c>
      <c r="BO179" s="11">
        <f t="shared" si="191"/>
        <v>-1795.0974930362104</v>
      </c>
      <c r="BQ179" s="44">
        <f t="shared" si="147"/>
        <v>0.0292</v>
      </c>
      <c r="BR179" s="11">
        <f>BR$5+SUM(BS$5:BS178)+SUM(R$5:R178)-SUM(S$5:S178)+SUM(BV$5:BV178)</f>
        <v>357506.65819617454</v>
      </c>
      <c r="BS179" s="10">
        <f t="shared" si="157"/>
        <v>-1024.1192754141302</v>
      </c>
      <c r="BT179" s="10">
        <f t="shared" si="158"/>
        <v>-869.932868277358</v>
      </c>
      <c r="BU179" s="10">
        <f>IF(U179&lt;0,PMT(BQ179/12,Podsumowanie!E$8-SUM(AB$5:AB179)+1,BR179),0)</f>
        <v>-1894.0521436914883</v>
      </c>
      <c r="BV179" s="10">
        <f t="shared" si="152"/>
        <v>-453.83978508834434</v>
      </c>
      <c r="BX179" s="11">
        <f>BX$5+SUM(BZ$5:BZ178)+SUM(R$5:R178)-SUM(S$5:S178)+SUM(CB$5,CB178)</f>
        <v>280113.55438826734</v>
      </c>
      <c r="BY179" s="10">
        <f t="shared" si="148"/>
        <v>-681.6096490114505</v>
      </c>
      <c r="BZ179" s="10">
        <f t="shared" si="149"/>
        <v>-1111.5617237629656</v>
      </c>
      <c r="CA179" s="10">
        <f t="shared" si="159"/>
        <v>-1793.171372774416</v>
      </c>
      <c r="CB179" s="10">
        <f t="shared" si="160"/>
        <v>-554.7205560054165</v>
      </c>
      <c r="CD179" s="10">
        <f>CD$5+SUM(CE$5:CE178)+SUM(R$5:R178)-SUM(S$5:S178)-SUM(CF$5:CF178)</f>
        <v>334946.98068596143</v>
      </c>
      <c r="CE179" s="10">
        <f t="shared" si="153"/>
        <v>681.6096490114505</v>
      </c>
      <c r="CF179" s="10">
        <f t="shared" si="154"/>
        <v>2347.8919287798326</v>
      </c>
      <c r="CG179" s="10">
        <f t="shared" si="155"/>
        <v>1666.282279768382</v>
      </c>
      <c r="CI179" s="44">
        <v>0.4803</v>
      </c>
      <c r="CJ179" s="10">
        <f t="shared" si="156"/>
        <v>-1127.69</v>
      </c>
      <c r="CK179" s="4">
        <f t="shared" si="161"/>
        <v>0</v>
      </c>
      <c r="CM179" s="10">
        <f t="shared" si="162"/>
        <v>-225892.12424700012</v>
      </c>
      <c r="CN179" s="4">
        <f t="shared" si="163"/>
        <v>-321.8962770519752</v>
      </c>
    </row>
    <row r="180" spans="1:92" ht="15.75">
      <c r="A180" s="36"/>
      <c r="B180" s="37">
        <v>42583</v>
      </c>
      <c r="C180" s="77">
        <f t="shared" si="144"/>
        <v>3.9549</v>
      </c>
      <c r="D180" s="78">
        <f>C180*(1+Podsumowanie!E$11)</f>
        <v>4.073547</v>
      </c>
      <c r="E180" s="34">
        <f t="shared" si="195"/>
        <v>-563.3279938145834</v>
      </c>
      <c r="F180" s="7">
        <f t="shared" si="196"/>
        <v>-2294.743059219414</v>
      </c>
      <c r="G180" s="7">
        <f t="shared" si="197"/>
        <v>-1242.4683365655312</v>
      </c>
      <c r="H180" s="7">
        <f t="shared" si="198"/>
        <v>1052.274722653883</v>
      </c>
      <c r="I180" s="32"/>
      <c r="K180" s="4">
        <f>IF(B180&lt;Podsumowanie!E$7,0,K179+1)</f>
        <v>110</v>
      </c>
      <c r="L180" s="100">
        <f t="shared" si="145"/>
        <v>-0.0074</v>
      </c>
      <c r="M180" s="38">
        <f>L180+Podsumowanie!E$6</f>
        <v>0.0046</v>
      </c>
      <c r="N180" s="101">
        <f>MAX(Podsumowanie!E$4+SUM(AA$5:AA179)-SUM(X$5:X180)+SUM(W$5:W180),0)</f>
        <v>135292.90627090973</v>
      </c>
      <c r="O180" s="102">
        <f>MAX(Podsumowanie!E$2+SUM(V$5:V179)-SUM(S$5:S180)+SUM(R$5:R180),0)</f>
        <v>298400.1399704306</v>
      </c>
      <c r="P180" s="39">
        <f t="shared" si="192"/>
        <v>360</v>
      </c>
      <c r="Q180" s="40" t="str">
        <f>IF(AND(K180&gt;0,K180&lt;=Podsumowanie!E$9),"tak","nie")</f>
        <v>nie</v>
      </c>
      <c r="R180" s="41"/>
      <c r="S180" s="42"/>
      <c r="T180" s="88">
        <f t="shared" si="178"/>
        <v>-114.38672032199838</v>
      </c>
      <c r="U180" s="89">
        <f>IF(Q180="tak",T180,IF(P180-SUM(AB$5:AB180)+1&gt;0,IF(Podsumowanie!E$7&lt;B180,IF(SUM(AB$5:AB180)-Podsumowanie!E$9+1&gt;0,PMT(M180/12,P180+1-SUM(AB$5:AB180),O180),T180),0),0))</f>
        <v>-1242.4683365655312</v>
      </c>
      <c r="V180" s="89">
        <f t="shared" si="199"/>
        <v>-1128.0816162435328</v>
      </c>
      <c r="W180" s="90" t="str">
        <f>IF(R180&gt;0,R180/(C180*(1-Podsumowanie!E$11))," ")</f>
        <v xml:space="preserve"> </v>
      </c>
      <c r="X180" s="90">
        <f t="shared" si="150"/>
        <v>0</v>
      </c>
      <c r="Y180" s="91">
        <f t="shared" si="168"/>
        <v>-51.86228073718206</v>
      </c>
      <c r="Z180" s="90">
        <f>IF(P180-SUM(AB$5:AB180)+1&gt;0,IF(Podsumowanie!E$7&lt;B180,IF(SUM(AB$5:AB180)-Podsumowanie!E$9+1&gt;0,PMT(M180/12,P180+1-SUM(AB$5:AB180),N180),Y180),0),0)</f>
        <v>-563.3279938145834</v>
      </c>
      <c r="AA180" s="90">
        <f t="shared" si="200"/>
        <v>-511.4657130774013</v>
      </c>
      <c r="AB180" s="8">
        <f>IF(AND(Podsumowanie!E$7&lt;B180,SUM(AB$5:AB179)&lt;P179),1," ")</f>
        <v>1</v>
      </c>
      <c r="AD180" s="51">
        <f>IF(OR(B180&lt;Podsumowanie!E$12,Podsumowanie!E$12=""),-F180+S180,0)</f>
        <v>2294.743059219414</v>
      </c>
      <c r="AE180" s="51">
        <f t="shared" si="151"/>
        <v>0</v>
      </c>
      <c r="AG180" s="10">
        <f>Podsumowanie!E$4-SUM(AI$5:AI179)+SUM(W$42:W180)-SUM(X$42:X180)</f>
        <v>126798.92813555225</v>
      </c>
      <c r="AH180" s="10">
        <f t="shared" si="179"/>
        <v>48.61</v>
      </c>
      <c r="AI180" s="10">
        <f t="shared" si="180"/>
        <v>505.18</v>
      </c>
      <c r="AJ180" s="10">
        <f t="shared" si="201"/>
        <v>553.79</v>
      </c>
      <c r="AK180" s="10">
        <f t="shared" si="175"/>
        <v>2255.89</v>
      </c>
      <c r="AL180" s="10">
        <f>Podsumowanie!E$2-SUM(AN$5:AN179)+SUM(R$42:R180)-SUM(S$42:S180)</f>
        <v>279665.44999999984</v>
      </c>
      <c r="AM180" s="10">
        <f t="shared" si="181"/>
        <v>107.21</v>
      </c>
      <c r="AN180" s="10">
        <f t="shared" si="182"/>
        <v>1114.2</v>
      </c>
      <c r="AO180" s="10">
        <f t="shared" si="202"/>
        <v>1221.41</v>
      </c>
      <c r="AP180" s="10">
        <f t="shared" si="203"/>
        <v>1034.4799999999998</v>
      </c>
      <c r="AR180" s="43">
        <f t="shared" si="176"/>
        <v>42583</v>
      </c>
      <c r="AS180" s="11">
        <f>AS$5+SUM(AV$5:AV179)-SUM(X$5:X180)+SUM(W$5:W180)</f>
        <v>131234.11908278242</v>
      </c>
      <c r="AT180" s="10">
        <f t="shared" si="185"/>
        <v>-50.30641231506659</v>
      </c>
      <c r="AU180" s="10">
        <f>IF(AB180=1,IF(Q180="tak",AT180,PMT(M180/12,P180+1-SUM(AB$5:AB180),AS180)),0)</f>
        <v>-546.4281540001458</v>
      </c>
      <c r="AV180" s="10">
        <f t="shared" si="186"/>
        <v>-496.1217416850792</v>
      </c>
      <c r="AW180" s="10">
        <f t="shared" si="187"/>
        <v>-2161.0687062551765</v>
      </c>
      <c r="AY180" s="11">
        <f>AY$5+SUM(BA$5:BA179)+SUM(W$5:W179)-SUM(X$5:X179)</f>
        <v>122994.80719148574</v>
      </c>
      <c r="AZ180" s="11">
        <f t="shared" si="188"/>
        <v>-50.30641231506659</v>
      </c>
      <c r="BA180" s="11">
        <f t="shared" si="189"/>
        <v>-490.02</v>
      </c>
      <c r="BB180" s="11">
        <f t="shared" si="194"/>
        <v>-540.3264123150666</v>
      </c>
      <c r="BC180" s="11">
        <f t="shared" si="177"/>
        <v>-2136.9369280648566</v>
      </c>
      <c r="BE180" s="172">
        <f t="shared" si="146"/>
        <v>0.0171</v>
      </c>
      <c r="BF180" s="44">
        <f>BE180+Podsumowanie!$E$6</f>
        <v>0.0291</v>
      </c>
      <c r="BG180" s="11">
        <f>BG$5+SUM(BH$5:BH179)+SUM(R$5:R179)-SUM(S$5:S179)</f>
        <v>333180.29392593005</v>
      </c>
      <c r="BH180" s="10">
        <f t="shared" si="204"/>
        <v>-960.6081165984855</v>
      </c>
      <c r="BI180" s="10">
        <f t="shared" si="205"/>
        <v>-807.9622127703805</v>
      </c>
      <c r="BJ180" s="10">
        <f>IF(U180&lt;0,PMT(BF180/12,Podsumowanie!E$8-SUM(AB$5:AB180)+1,BG180),0)</f>
        <v>-1768.570329368866</v>
      </c>
      <c r="BL180" s="11">
        <f>BL$5+SUM(BN$5:BN179)+SUM(R$5:R179)-SUM(S$5:S179)</f>
        <v>279665.7381615597</v>
      </c>
      <c r="BM180" s="11">
        <f t="shared" si="140"/>
        <v>-678.1894150417822</v>
      </c>
      <c r="BN180" s="11">
        <f t="shared" si="141"/>
        <v>-1114.206128133704</v>
      </c>
      <c r="BO180" s="11">
        <f t="shared" si="191"/>
        <v>-1792.3955431754862</v>
      </c>
      <c r="BQ180" s="44">
        <f t="shared" si="147"/>
        <v>0.0292</v>
      </c>
      <c r="BR180" s="11">
        <f>BR$5+SUM(BS$5:BS179)+SUM(R$5:R179)-SUM(S$5:S179)+SUM(BV$5:BV179)</f>
        <v>356028.69913567207</v>
      </c>
      <c r="BS180" s="10">
        <f t="shared" si="157"/>
        <v>-1025.3043147692824</v>
      </c>
      <c r="BT180" s="10">
        <f t="shared" si="158"/>
        <v>-866.3365012301355</v>
      </c>
      <c r="BU180" s="10">
        <f>IF(U180&lt;0,PMT(BQ180/12,Podsumowanie!E$8-SUM(AB$5:AB180)+1,BR180),0)</f>
        <v>-1891.6408159994178</v>
      </c>
      <c r="BV180" s="10">
        <f t="shared" si="152"/>
        <v>-403.10224321999635</v>
      </c>
      <c r="BX180" s="11">
        <f>BX$5+SUM(BZ$5:BZ179)+SUM(R$5:R179)-SUM(S$5:S179)+SUM(CB$5,CB179)</f>
        <v>278998.5208384095</v>
      </c>
      <c r="BY180" s="10">
        <f t="shared" si="148"/>
        <v>-678.8964007067965</v>
      </c>
      <c r="BZ180" s="10">
        <f t="shared" si="149"/>
        <v>-1111.547891786492</v>
      </c>
      <c r="CA180" s="10">
        <f t="shared" si="159"/>
        <v>-1790.4442924932887</v>
      </c>
      <c r="CB180" s="10">
        <f t="shared" si="160"/>
        <v>-504.29876672612545</v>
      </c>
      <c r="CD180" s="10">
        <f>CD$5+SUM(CE$5:CE179)+SUM(R$5:R179)-SUM(S$5:S179)-SUM(CF$5:CF179)</f>
        <v>333280.6984061932</v>
      </c>
      <c r="CE180" s="10">
        <f t="shared" si="153"/>
        <v>678.8964007067965</v>
      </c>
      <c r="CF180" s="10">
        <f t="shared" si="154"/>
        <v>2294.743059219414</v>
      </c>
      <c r="CG180" s="10">
        <f t="shared" si="155"/>
        <v>1615.8466585126175</v>
      </c>
      <c r="CI180" s="44">
        <v>0.4848</v>
      </c>
      <c r="CJ180" s="10">
        <f t="shared" si="156"/>
        <v>-1112.49</v>
      </c>
      <c r="CK180" s="4">
        <f t="shared" si="161"/>
        <v>0</v>
      </c>
      <c r="CM180" s="10">
        <f t="shared" si="162"/>
        <v>-228186.86730621953</v>
      </c>
      <c r="CN180" s="4">
        <f t="shared" si="163"/>
        <v>-325.1662859113629</v>
      </c>
    </row>
    <row r="181" spans="1:92" ht="15.75">
      <c r="A181" s="36"/>
      <c r="B181" s="37">
        <v>42614</v>
      </c>
      <c r="C181" s="77">
        <f t="shared" si="144"/>
        <v>3.9586</v>
      </c>
      <c r="D181" s="78">
        <f>C181*(1+Podsumowanie!E$11)</f>
        <v>4.077358</v>
      </c>
      <c r="E181" s="34">
        <f t="shared" si="195"/>
        <v>-563.3279938145835</v>
      </c>
      <c r="F181" s="7">
        <f t="shared" si="196"/>
        <v>-2296.8899022038427</v>
      </c>
      <c r="G181" s="7">
        <f t="shared" si="197"/>
        <v>-1242.4683365655312</v>
      </c>
      <c r="H181" s="7">
        <f t="shared" si="198"/>
        <v>1054.4215656383114</v>
      </c>
      <c r="I181" s="32"/>
      <c r="K181" s="4">
        <f>IF(B181&lt;Podsumowanie!E$7,0,K180+1)</f>
        <v>111</v>
      </c>
      <c r="L181" s="100">
        <f t="shared" si="145"/>
        <v>-0.0074</v>
      </c>
      <c r="M181" s="38">
        <f>L181+Podsumowanie!E$6</f>
        <v>0.0046</v>
      </c>
      <c r="N181" s="101">
        <f>MAX(Podsumowanie!E$4+SUM(AA$5:AA180)-SUM(X$5:X181)+SUM(W$5:W181),0)</f>
        <v>134781.44055783233</v>
      </c>
      <c r="O181" s="102">
        <f>MAX(Podsumowanie!E$2+SUM(V$5:V180)-SUM(S$5:S181)+SUM(R$5:R181),0)</f>
        <v>297272.05835418706</v>
      </c>
      <c r="P181" s="39">
        <f t="shared" si="192"/>
        <v>360</v>
      </c>
      <c r="Q181" s="40" t="str">
        <f>IF(AND(K181&gt;0,K181&lt;=Podsumowanie!E$9),"tak","nie")</f>
        <v>nie</v>
      </c>
      <c r="R181" s="41"/>
      <c r="S181" s="42"/>
      <c r="T181" s="88">
        <f t="shared" si="178"/>
        <v>-113.95428903577171</v>
      </c>
      <c r="U181" s="89">
        <f>IF(Q181="tak",T181,IF(P181-SUM(AB$5:AB181)+1&gt;0,IF(Podsumowanie!E$7&lt;B181,IF(SUM(AB$5:AB181)-Podsumowanie!E$9+1&gt;0,PMT(M181/12,P181+1-SUM(AB$5:AB181),O181),T181),0),0))</f>
        <v>-1242.4683365655312</v>
      </c>
      <c r="V181" s="89">
        <f t="shared" si="199"/>
        <v>-1128.5140475297594</v>
      </c>
      <c r="W181" s="90" t="str">
        <f>IF(R181&gt;0,R181/(C181*(1-Podsumowanie!E$11))," ")</f>
        <v xml:space="preserve"> </v>
      </c>
      <c r="X181" s="90">
        <f t="shared" si="150"/>
        <v>0</v>
      </c>
      <c r="Y181" s="91">
        <f t="shared" si="168"/>
        <v>-51.66621888050239</v>
      </c>
      <c r="Z181" s="90">
        <f>IF(P181-SUM(AB$5:AB181)+1&gt;0,IF(Podsumowanie!E$7&lt;B181,IF(SUM(AB$5:AB181)-Podsumowanie!E$9+1&gt;0,PMT(M181/12,P181+1-SUM(AB$5:AB181),N181),Y181),0),0)</f>
        <v>-563.3279938145835</v>
      </c>
      <c r="AA181" s="90">
        <f t="shared" si="200"/>
        <v>-511.66177493408105</v>
      </c>
      <c r="AB181" s="8">
        <f>IF(AND(Podsumowanie!E$7&lt;B181,SUM(AB$5:AB180)&lt;P180),1," ")</f>
        <v>1</v>
      </c>
      <c r="AD181" s="51">
        <f>IF(OR(B181&lt;Podsumowanie!E$12,Podsumowanie!E$12=""),-F181+S181,0)</f>
        <v>2296.8899022038427</v>
      </c>
      <c r="AE181" s="51">
        <f t="shared" si="151"/>
        <v>0</v>
      </c>
      <c r="AG181" s="10">
        <f>Podsumowanie!E$4-SUM(AI$5:AI180)+SUM(W$42:W181)-SUM(X$42:X181)</f>
        <v>126293.74813555225</v>
      </c>
      <c r="AH181" s="10">
        <f t="shared" si="179"/>
        <v>48.41</v>
      </c>
      <c r="AI181" s="10">
        <f t="shared" si="180"/>
        <v>505.17</v>
      </c>
      <c r="AJ181" s="10">
        <f t="shared" si="201"/>
        <v>553.58</v>
      </c>
      <c r="AK181" s="10">
        <f t="shared" si="175"/>
        <v>2257.14</v>
      </c>
      <c r="AL181" s="10">
        <f>Podsumowanie!E$2-SUM(AN$5:AN180)+SUM(R$42:R181)-SUM(S$42:S181)</f>
        <v>278551.2499999999</v>
      </c>
      <c r="AM181" s="10">
        <f t="shared" si="181"/>
        <v>106.78</v>
      </c>
      <c r="AN181" s="10">
        <f t="shared" si="182"/>
        <v>1114.21</v>
      </c>
      <c r="AO181" s="10">
        <f t="shared" si="202"/>
        <v>1220.99</v>
      </c>
      <c r="AP181" s="10">
        <f t="shared" si="203"/>
        <v>1036.1499999999999</v>
      </c>
      <c r="AR181" s="43">
        <f t="shared" si="176"/>
        <v>42614</v>
      </c>
      <c r="AS181" s="11">
        <f>AS$5+SUM(AV$5:AV180)-SUM(X$5:X181)+SUM(W$5:W181)</f>
        <v>130737.99734109733</v>
      </c>
      <c r="AT181" s="10">
        <f t="shared" si="185"/>
        <v>-50.11623231408731</v>
      </c>
      <c r="AU181" s="10">
        <f>IF(AB181=1,IF(Q181="tak",AT181,PMT(M181/12,P181+1-SUM(AB$5:AB181),AS181)),0)</f>
        <v>-546.4281540001458</v>
      </c>
      <c r="AV181" s="10">
        <f t="shared" si="186"/>
        <v>-496.3119216860585</v>
      </c>
      <c r="AW181" s="10">
        <f t="shared" si="187"/>
        <v>-2163.0904904249774</v>
      </c>
      <c r="AY181" s="11">
        <f>AY$5+SUM(BA$5:BA180)+SUM(W$5:W180)-SUM(X$5:X180)</f>
        <v>122504.78719148574</v>
      </c>
      <c r="AZ181" s="11">
        <f t="shared" si="188"/>
        <v>-50.11623231408731</v>
      </c>
      <c r="BA181" s="11">
        <f t="shared" si="189"/>
        <v>-490.02</v>
      </c>
      <c r="BB181" s="11">
        <f t="shared" si="194"/>
        <v>-540.1362323140872</v>
      </c>
      <c r="BC181" s="11">
        <f t="shared" si="177"/>
        <v>-2138.183289238546</v>
      </c>
      <c r="BE181" s="172">
        <f t="shared" si="146"/>
        <v>0.0171</v>
      </c>
      <c r="BF181" s="44">
        <f>BE181+Podsumowanie!$E$6</f>
        <v>0.0291</v>
      </c>
      <c r="BG181" s="11">
        <f>BG$5+SUM(BH$5:BH180)+SUM(R$5:R180)-SUM(S$5:S180)</f>
        <v>332219.68580933154</v>
      </c>
      <c r="BH181" s="10">
        <f t="shared" si="204"/>
        <v>-962.9375912812369</v>
      </c>
      <c r="BI181" s="10">
        <f t="shared" si="205"/>
        <v>-805.632738087629</v>
      </c>
      <c r="BJ181" s="10">
        <f>IF(U181&lt;0,PMT(BF181/12,Podsumowanie!E$8-SUM(AB$5:AB181)+1,BG181),0)</f>
        <v>-1768.570329368866</v>
      </c>
      <c r="BL181" s="11">
        <f>BL$5+SUM(BN$5:BN180)+SUM(R$5:R180)-SUM(S$5:S180)</f>
        <v>278551.532033426</v>
      </c>
      <c r="BM181" s="11">
        <f t="shared" si="140"/>
        <v>-675.487465181058</v>
      </c>
      <c r="BN181" s="11">
        <f t="shared" si="141"/>
        <v>-1114.206128133704</v>
      </c>
      <c r="BO181" s="11">
        <f t="shared" si="191"/>
        <v>-1789.693593314762</v>
      </c>
      <c r="BQ181" s="44">
        <f t="shared" si="147"/>
        <v>0.0292</v>
      </c>
      <c r="BR181" s="11">
        <f>BR$5+SUM(BS$5:BS180)+SUM(R$5:R180)-SUM(S$5:S180)+SUM(BV$5:BV180)</f>
        <v>354600.2925776828</v>
      </c>
      <c r="BS181" s="10">
        <f t="shared" si="157"/>
        <v>-1026.632167822539</v>
      </c>
      <c r="BT181" s="10">
        <f t="shared" si="158"/>
        <v>-862.8607119390282</v>
      </c>
      <c r="BU181" s="10">
        <f>IF(U181&lt;0,PMT(BQ181/12,Podsumowanie!E$8-SUM(AB$5:AB181)+1,BR181),0)</f>
        <v>-1889.492879761567</v>
      </c>
      <c r="BV181" s="10">
        <f t="shared" si="152"/>
        <v>-407.39702244227556</v>
      </c>
      <c r="BX181" s="11">
        <f>BX$5+SUM(BZ$5:BZ180)+SUM(R$5:R180)-SUM(S$5:S180)+SUM(CB$5,CB180)</f>
        <v>277937.3947359023</v>
      </c>
      <c r="BY181" s="10">
        <f t="shared" si="148"/>
        <v>-676.3143271906956</v>
      </c>
      <c r="BZ181" s="10">
        <f t="shared" si="149"/>
        <v>-1111.7495789436093</v>
      </c>
      <c r="CA181" s="10">
        <f t="shared" si="159"/>
        <v>-1788.063906134305</v>
      </c>
      <c r="CB181" s="10">
        <f t="shared" si="160"/>
        <v>-508.8259960695377</v>
      </c>
      <c r="CD181" s="10">
        <f>CD$5+SUM(CE$5:CE180)+SUM(R$5:R180)-SUM(S$5:S180)-SUM(CF$5:CF180)</f>
        <v>331664.85174768046</v>
      </c>
      <c r="CE181" s="10">
        <f t="shared" si="153"/>
        <v>676.3143271906956</v>
      </c>
      <c r="CF181" s="10">
        <f t="shared" si="154"/>
        <v>2296.8899022038427</v>
      </c>
      <c r="CG181" s="10">
        <f t="shared" si="155"/>
        <v>1620.575575013147</v>
      </c>
      <c r="CI181" s="44">
        <v>0.4878</v>
      </c>
      <c r="CJ181" s="10">
        <f t="shared" si="156"/>
        <v>-1120.42</v>
      </c>
      <c r="CK181" s="4">
        <f t="shared" si="161"/>
        <v>0</v>
      </c>
      <c r="CM181" s="10">
        <f t="shared" si="162"/>
        <v>-230483.75720842337</v>
      </c>
      <c r="CN181" s="4">
        <f t="shared" si="163"/>
        <v>-328.43935402200333</v>
      </c>
    </row>
    <row r="182" spans="1:92" ht="15.75">
      <c r="A182" s="36"/>
      <c r="B182" s="37">
        <v>42644</v>
      </c>
      <c r="C182" s="77">
        <f t="shared" si="144"/>
        <v>3.9615</v>
      </c>
      <c r="D182" s="79">
        <f>C182*(1+Podsumowanie!E$11)</f>
        <v>4.080345</v>
      </c>
      <c r="E182" s="34">
        <f t="shared" si="195"/>
        <v>-563.3279938145834</v>
      </c>
      <c r="F182" s="7">
        <f t="shared" si="196"/>
        <v>-2298.572562921366</v>
      </c>
      <c r="G182" s="7">
        <f t="shared" si="197"/>
        <v>-1242.468336565531</v>
      </c>
      <c r="H182" s="7">
        <f t="shared" si="198"/>
        <v>1056.1042263558352</v>
      </c>
      <c r="I182" s="32"/>
      <c r="K182" s="4">
        <f>IF(B182&lt;Podsumowanie!E$7,0,K181+1)</f>
        <v>112</v>
      </c>
      <c r="L182" s="100">
        <f t="shared" si="145"/>
        <v>-0.0074</v>
      </c>
      <c r="M182" s="38">
        <f>L182+Podsumowanie!E$6</f>
        <v>0.0046</v>
      </c>
      <c r="N182" s="101">
        <f>MAX(Podsumowanie!E$4+SUM(AA$5:AA181)-SUM(X$5:X182)+SUM(W$5:W182),0)</f>
        <v>134269.77878289824</v>
      </c>
      <c r="O182" s="102">
        <f>MAX(Podsumowanie!E$2+SUM(V$5:V181)-SUM(S$5:S182)+SUM(R$5:R182),0)</f>
        <v>296143.5443066573</v>
      </c>
      <c r="P182" s="39">
        <f t="shared" si="192"/>
        <v>360</v>
      </c>
      <c r="Q182" s="40" t="str">
        <f>IF(AND(K182&gt;0,K182&lt;=Podsumowanie!E$9),"tak","nie")</f>
        <v>nie</v>
      </c>
      <c r="R182" s="41"/>
      <c r="S182" s="42"/>
      <c r="T182" s="88">
        <f aca="true" t="shared" si="206" ref="T182:T187">IF(AB182=1,-O182*M182/12,0)</f>
        <v>-113.52169198421863</v>
      </c>
      <c r="U182" s="89">
        <f>IF(Q182="tak",T182,IF(P182-SUM(AB$5:AB182)+1&gt;0,IF(Podsumowanie!E$7&lt;B182,IF(SUM(AB$5:AB182)-Podsumowanie!E$9+1&gt;0,PMT(M182/12,P182+1-SUM(AB$5:AB182),O182),T182),0),0))</f>
        <v>-1242.468336565531</v>
      </c>
      <c r="V182" s="89">
        <f t="shared" si="199"/>
        <v>-1128.9466445813123</v>
      </c>
      <c r="W182" s="90" t="str">
        <f>IF(R182&gt;0,R182/(C182*(1-Podsumowanie!E$11))," ")</f>
        <v xml:space="preserve"> </v>
      </c>
      <c r="X182" s="90">
        <f t="shared" si="150"/>
        <v>0</v>
      </c>
      <c r="Y182" s="91">
        <f aca="true" t="shared" si="207" ref="Y182:Y187">IF(AB182=1,-N182*M182/12,0)</f>
        <v>-51.47008186677766</v>
      </c>
      <c r="Z182" s="90">
        <f>IF(P182-SUM(AB$5:AB182)+1&gt;0,IF(Podsumowanie!E$7&lt;B182,IF(SUM(AB$5:AB182)-Podsumowanie!E$9+1&gt;0,PMT(M182/12,P182+1-SUM(AB$5:AB182),N182),Y182),0),0)</f>
        <v>-563.3279938145834</v>
      </c>
      <c r="AA182" s="90">
        <f t="shared" si="200"/>
        <v>-511.8579119478057</v>
      </c>
      <c r="AB182" s="8">
        <f>IF(AND(Podsumowanie!E$7&lt;B182,SUM(AB$5:AB181)&lt;P181),1," ")</f>
        <v>1</v>
      </c>
      <c r="AD182" s="51">
        <f>IF(OR(B182&lt;Podsumowanie!E$12,Podsumowanie!E$12=""),-F182+S182,0)</f>
        <v>2298.572562921366</v>
      </c>
      <c r="AE182" s="51">
        <f t="shared" si="151"/>
        <v>0</v>
      </c>
      <c r="AG182" s="10">
        <f>Podsumowanie!E$4-SUM(AI$5:AI181)+SUM(W$42:W182)-SUM(X$42:X182)</f>
        <v>125788.57813555226</v>
      </c>
      <c r="AH182" s="10">
        <f aca="true" t="shared" si="208" ref="AH182:AH187">IF(AB182=1,ROUND(AG182*M182/12,2),0)</f>
        <v>48.22</v>
      </c>
      <c r="AI182" s="10">
        <f aca="true" t="shared" si="209" ref="AI182:AI187">IF(Q182="tak",0,IF(AB182=1,ROUND(AG182/(P182-K182+1),2),0))</f>
        <v>505.18</v>
      </c>
      <c r="AJ182" s="10">
        <f t="shared" si="201"/>
        <v>553.4</v>
      </c>
      <c r="AK182" s="10">
        <f t="shared" si="175"/>
        <v>2258.06</v>
      </c>
      <c r="AL182" s="10">
        <f>Podsumowanie!E$2-SUM(AN$5:AN181)+SUM(R$42:R182)-SUM(S$42:S182)</f>
        <v>277437.03999999986</v>
      </c>
      <c r="AM182" s="10">
        <f aca="true" t="shared" si="210" ref="AM182:AM187">IF(AB182=1,ROUND(AL182*M182/12,2),0)</f>
        <v>106.35</v>
      </c>
      <c r="AN182" s="10">
        <f aca="true" t="shared" si="211" ref="AN182:AN187">IF(Q182="tak",0,IF(AB182=1,ROUND(AL182/(P182-K182+1),2),0))</f>
        <v>1114.2</v>
      </c>
      <c r="AO182" s="10">
        <f t="shared" si="202"/>
        <v>1220.55</v>
      </c>
      <c r="AP182" s="10">
        <f t="shared" si="203"/>
        <v>1037.51</v>
      </c>
      <c r="AR182" s="43">
        <f t="shared" si="176"/>
        <v>42644</v>
      </c>
      <c r="AS182" s="11">
        <f>AS$5+SUM(AV$5:AV181)-SUM(X$5:X182)+SUM(W$5:W182)</f>
        <v>130241.68541941127</v>
      </c>
      <c r="AT182" s="10">
        <f aca="true" t="shared" si="212" ref="AT182:AT187">IF(AB182=1,-AS182*M182/12,0)</f>
        <v>-49.92597941077432</v>
      </c>
      <c r="AU182" s="10">
        <f>IF(AB182=1,IF(Q182="tak",AT182,PMT(M182/12,P182+1-SUM(AB$5:AB182),AS182)),0)</f>
        <v>-546.4281540001457</v>
      </c>
      <c r="AV182" s="10">
        <f t="shared" si="186"/>
        <v>-496.5021745893714</v>
      </c>
      <c r="AW182" s="10">
        <f t="shared" si="187"/>
        <v>-2164.675132071577</v>
      </c>
      <c r="AY182" s="11">
        <f>AY$5+SUM(BA$5:BA181)+SUM(W$5:W181)-SUM(X$5:X181)</f>
        <v>122014.76719148573</v>
      </c>
      <c r="AZ182" s="11">
        <f aca="true" t="shared" si="213" ref="AZ182:AZ187">IF(AB182=1,-AS182*M182/12,0)</f>
        <v>-49.92597941077432</v>
      </c>
      <c r="BA182" s="11">
        <f aca="true" t="shared" si="214" ref="BA182:BA187">IF(AB182=1,IF(Q182="tak",0,ROUND(-AY182/(P182-K182+1),2)),0)</f>
        <v>-490.02</v>
      </c>
      <c r="BB182" s="11">
        <f aca="true" t="shared" si="215" ref="BB182:BB187">BA182+AZ182</f>
        <v>-539.9459794107743</v>
      </c>
      <c r="BC182" s="11">
        <f t="shared" si="177"/>
        <v>-2138.995997435782</v>
      </c>
      <c r="BE182" s="172">
        <f t="shared" si="146"/>
        <v>0.0172</v>
      </c>
      <c r="BF182" s="44">
        <f>BE182+Podsumowanie!$E$6</f>
        <v>0.0292</v>
      </c>
      <c r="BG182" s="11">
        <f>BG$5+SUM(BH$5:BH181)+SUM(R$5:R181)-SUM(S$5:S181)</f>
        <v>331256.7482180503</v>
      </c>
      <c r="BH182" s="10">
        <f t="shared" si="204"/>
        <v>-964.1735142130007</v>
      </c>
      <c r="BI182" s="10">
        <f t="shared" si="205"/>
        <v>-806.058087330589</v>
      </c>
      <c r="BJ182" s="10">
        <f>IF(U182&lt;0,PMT(BF182/12,Podsumowanie!E$8-SUM(AB$5:AB182)+1,BG182),0)</f>
        <v>-1770.2316015435897</v>
      </c>
      <c r="BL182" s="11">
        <f>BL$5+SUM(BN$5:BN181)+SUM(R$5:R181)-SUM(S$5:S181)</f>
        <v>277437.32590529224</v>
      </c>
      <c r="BM182" s="11">
        <f t="shared" si="140"/>
        <v>-675.0974930362112</v>
      </c>
      <c r="BN182" s="11">
        <f t="shared" si="141"/>
        <v>-1114.2061281337037</v>
      </c>
      <c r="BO182" s="11">
        <f t="shared" si="191"/>
        <v>-1789.303621169915</v>
      </c>
      <c r="BQ182" s="44">
        <f t="shared" si="147"/>
        <v>0.0293</v>
      </c>
      <c r="BR182" s="11">
        <f>BR$5+SUM(BS$5:BS181)+SUM(R$5:R181)-SUM(S$5:S181)+SUM(BV$5:BV181)</f>
        <v>353166.26338741794</v>
      </c>
      <c r="BS182" s="10">
        <f t="shared" si="157"/>
        <v>-1026.7735935269566</v>
      </c>
      <c r="BT182" s="10">
        <f t="shared" si="158"/>
        <v>-862.3142931042788</v>
      </c>
      <c r="BU182" s="10">
        <f>IF(U182&lt;0,PMT(BQ182/12,Podsumowanie!E$8-SUM(AB$5:AB182)+1,BR182),0)</f>
        <v>-1889.0878866312353</v>
      </c>
      <c r="BV182" s="10">
        <f t="shared" si="152"/>
        <v>-409.4846762901309</v>
      </c>
      <c r="BX182" s="11">
        <f>BX$5+SUM(BZ$5:BZ181)+SUM(R$5:R181)-SUM(S$5:S181)+SUM(CB$5,CB181)</f>
        <v>276821.1179276153</v>
      </c>
      <c r="BY182" s="10">
        <f t="shared" si="148"/>
        <v>-675.9048962732606</v>
      </c>
      <c r="BZ182" s="10">
        <f t="shared" si="149"/>
        <v>-1111.7313972996599</v>
      </c>
      <c r="CA182" s="10">
        <f t="shared" si="159"/>
        <v>-1787.6362935729205</v>
      </c>
      <c r="CB182" s="10">
        <f t="shared" si="160"/>
        <v>-510.93626934844565</v>
      </c>
      <c r="CD182" s="10">
        <f>CD$5+SUM(CE$5:CE181)+SUM(R$5:R181)-SUM(S$5:S181)-SUM(CF$5:CF181)</f>
        <v>330044.2761726674</v>
      </c>
      <c r="CE182" s="10">
        <f t="shared" si="153"/>
        <v>675.9048962732606</v>
      </c>
      <c r="CF182" s="10">
        <f t="shared" si="154"/>
        <v>2298.572562921366</v>
      </c>
      <c r="CG182" s="10">
        <f t="shared" si="155"/>
        <v>1622.6676666481055</v>
      </c>
      <c r="CI182" s="44">
        <v>0.4878</v>
      </c>
      <c r="CJ182" s="10">
        <f t="shared" si="156"/>
        <v>-1121.24</v>
      </c>
      <c r="CK182" s="4">
        <f t="shared" si="161"/>
        <v>0</v>
      </c>
      <c r="CM182" s="10">
        <f t="shared" si="162"/>
        <v>-232782.32977134472</v>
      </c>
      <c r="CN182" s="4">
        <f t="shared" si="163"/>
        <v>-333.6546726722608</v>
      </c>
    </row>
    <row r="183" spans="1:92" ht="15.75">
      <c r="A183" s="36"/>
      <c r="B183" s="37">
        <v>42675</v>
      </c>
      <c r="C183" s="77">
        <f t="shared" si="144"/>
        <v>4.0749</v>
      </c>
      <c r="D183" s="79">
        <f>C183*(1+Podsumowanie!E$11)</f>
        <v>4.197147</v>
      </c>
      <c r="E183" s="34">
        <f t="shared" si="195"/>
        <v>-563.3279938145835</v>
      </c>
      <c r="F183" s="7">
        <f t="shared" si="196"/>
        <v>-2364.3703992548976</v>
      </c>
      <c r="G183" s="7">
        <f t="shared" si="197"/>
        <v>-1242.4683365655314</v>
      </c>
      <c r="H183" s="7">
        <f t="shared" si="198"/>
        <v>1121.9020626893662</v>
      </c>
      <c r="I183" s="32"/>
      <c r="K183" s="4">
        <f>IF(B183&lt;Podsumowanie!E$7,0,K182+1)</f>
        <v>113</v>
      </c>
      <c r="L183" s="100">
        <f t="shared" si="145"/>
        <v>-0.0074</v>
      </c>
      <c r="M183" s="38">
        <f>L183+Podsumowanie!E$6</f>
        <v>0.0046</v>
      </c>
      <c r="N183" s="101">
        <f>MAX(Podsumowanie!E$4+SUM(AA$5:AA182)-SUM(X$5:X183)+SUM(W$5:W183),0)</f>
        <v>133757.92087095045</v>
      </c>
      <c r="O183" s="102">
        <f>MAX(Podsumowanie!E$2+SUM(V$5:V182)-SUM(S$5:S183)+SUM(R$5:R183),0)</f>
        <v>295014.597662076</v>
      </c>
      <c r="P183" s="39">
        <f t="shared" si="192"/>
        <v>360</v>
      </c>
      <c r="Q183" s="40" t="str">
        <f>IF(AND(K183&gt;0,K183&lt;=Podsumowanie!E$9),"tak","nie")</f>
        <v>nie</v>
      </c>
      <c r="R183" s="41"/>
      <c r="S183" s="42"/>
      <c r="T183" s="88">
        <f t="shared" si="206"/>
        <v>-113.0889291037958</v>
      </c>
      <c r="U183" s="89">
        <f>IF(Q183="tak",T183,IF(P183-SUM(AB$5:AB183)+1&gt;0,IF(Podsumowanie!E$7&lt;B183,IF(SUM(AB$5:AB183)-Podsumowanie!E$9+1&gt;0,PMT(M183/12,P183+1-SUM(AB$5:AB183),O183),T183),0),0))</f>
        <v>-1242.4683365655314</v>
      </c>
      <c r="V183" s="89">
        <f t="shared" si="199"/>
        <v>-1129.3794074617356</v>
      </c>
      <c r="W183" s="90" t="str">
        <f>IF(R183&gt;0,R183/(C183*(1-Podsumowanie!E$11))," ")</f>
        <v xml:space="preserve"> </v>
      </c>
      <c r="X183" s="90">
        <f t="shared" si="150"/>
        <v>0</v>
      </c>
      <c r="Y183" s="91">
        <f t="shared" si="207"/>
        <v>-51.273869667197665</v>
      </c>
      <c r="Z183" s="90">
        <f>IF(P183-SUM(AB$5:AB183)+1&gt;0,IF(Podsumowanie!E$7&lt;B183,IF(SUM(AB$5:AB183)-Podsumowanie!E$9+1&gt;0,PMT(M183/12,P183+1-SUM(AB$5:AB183),N183),Y183),0),0)</f>
        <v>-563.3279938145835</v>
      </c>
      <c r="AA183" s="90">
        <f t="shared" si="200"/>
        <v>-512.0541241473858</v>
      </c>
      <c r="AB183" s="8">
        <f>IF(AND(Podsumowanie!E$7&lt;B183,SUM(AB$5:AB182)&lt;P182),1," ")</f>
        <v>1</v>
      </c>
      <c r="AD183" s="51">
        <f>IF(OR(B183&lt;Podsumowanie!E$12,Podsumowanie!E$12=""),-F183+S183,0)</f>
        <v>0</v>
      </c>
      <c r="AE183" s="51">
        <f t="shared" si="151"/>
        <v>563.3279938145835</v>
      </c>
      <c r="AG183" s="10">
        <f>Podsumowanie!E$4-SUM(AI$5:AI182)+SUM(W$42:W183)-SUM(X$42:X183)</f>
        <v>125283.39813555226</v>
      </c>
      <c r="AH183" s="10">
        <f t="shared" si="208"/>
        <v>48.03</v>
      </c>
      <c r="AI183" s="10">
        <f t="shared" si="209"/>
        <v>505.17</v>
      </c>
      <c r="AJ183" s="10">
        <f t="shared" si="201"/>
        <v>553.2</v>
      </c>
      <c r="AK183" s="10">
        <f t="shared" si="175"/>
        <v>2321.86</v>
      </c>
      <c r="AL183" s="10">
        <f>Podsumowanie!E$2-SUM(AN$5:AN182)+SUM(R$42:R183)-SUM(S$42:S183)</f>
        <v>276322.83999999985</v>
      </c>
      <c r="AM183" s="10">
        <f t="shared" si="210"/>
        <v>105.92</v>
      </c>
      <c r="AN183" s="10">
        <f t="shared" si="211"/>
        <v>1114.21</v>
      </c>
      <c r="AO183" s="10">
        <f t="shared" si="202"/>
        <v>1220.13</v>
      </c>
      <c r="AP183" s="10">
        <f t="shared" si="203"/>
        <v>1101.73</v>
      </c>
      <c r="AR183" s="43">
        <f t="shared" si="176"/>
        <v>42675</v>
      </c>
      <c r="AS183" s="11">
        <f>AS$5+SUM(AV$5:AV182)-SUM(X$5:X183)+SUM(W$5:W183)</f>
        <v>129745.1832448219</v>
      </c>
      <c r="AT183" s="10">
        <f t="shared" si="212"/>
        <v>-49.73565357718173</v>
      </c>
      <c r="AU183" s="10">
        <f>IF(AB183=1,IF(Q183="tak",AT183,PMT(M183/12,P183+1-SUM(AB$5:AB183),AS183)),0)</f>
        <v>-546.4281540001458</v>
      </c>
      <c r="AV183" s="10">
        <f t="shared" si="186"/>
        <v>-496.6925004229641</v>
      </c>
      <c r="AW183" s="10">
        <f t="shared" si="187"/>
        <v>-2226.6400847351943</v>
      </c>
      <c r="AY183" s="11">
        <f>AY$5+SUM(BA$5:BA182)+SUM(W$5:W182)-SUM(X$5:X182)</f>
        <v>121524.74719148575</v>
      </c>
      <c r="AZ183" s="11">
        <f t="shared" si="213"/>
        <v>-49.73565357718173</v>
      </c>
      <c r="BA183" s="11">
        <f t="shared" si="214"/>
        <v>-490.02</v>
      </c>
      <c r="BB183" s="11">
        <f t="shared" si="215"/>
        <v>-539.7556535771818</v>
      </c>
      <c r="BC183" s="11">
        <f t="shared" si="177"/>
        <v>-2199.450312761658</v>
      </c>
      <c r="BE183" s="172">
        <f t="shared" si="146"/>
        <v>0.0173</v>
      </c>
      <c r="BF183" s="44">
        <f>BE183+Podsumowanie!$E$6</f>
        <v>0.0293</v>
      </c>
      <c r="BG183" s="11">
        <f>BG$5+SUM(BH$5:BH182)+SUM(R$5:R182)-SUM(S$5:S182)</f>
        <v>330292.5747038373</v>
      </c>
      <c r="BH183" s="10">
        <f t="shared" si="204"/>
        <v>-965.4235324815393</v>
      </c>
      <c r="BI183" s="10">
        <f t="shared" si="205"/>
        <v>-806.4643699018693</v>
      </c>
      <c r="BJ183" s="10">
        <f>IF(U183&lt;0,PMT(BF183/12,Podsumowanie!E$8-SUM(AB$5:AB183)+1,BG183),0)</f>
        <v>-1771.8879023834086</v>
      </c>
      <c r="BL183" s="11">
        <f>BL$5+SUM(BN$5:BN182)+SUM(R$5:R182)-SUM(S$5:S182)</f>
        <v>276323.11977715854</v>
      </c>
      <c r="BM183" s="11">
        <f t="shared" si="140"/>
        <v>-674.6889507892288</v>
      </c>
      <c r="BN183" s="11">
        <f t="shared" si="141"/>
        <v>-1114.2061281337037</v>
      </c>
      <c r="BO183" s="11">
        <f t="shared" si="191"/>
        <v>-1788.8950789229325</v>
      </c>
      <c r="BQ183" s="44">
        <f t="shared" si="147"/>
        <v>0.0294</v>
      </c>
      <c r="BR183" s="11">
        <f>BR$5+SUM(BS$5:BS182)+SUM(R$5:R182)-SUM(S$5:S182)+SUM(BV$5:BV182)</f>
        <v>351730.0051176009</v>
      </c>
      <c r="BS183" s="10">
        <f t="shared" si="157"/>
        <v>-1026.9174276664248</v>
      </c>
      <c r="BT183" s="10">
        <f t="shared" si="158"/>
        <v>-861.7385125381221</v>
      </c>
      <c r="BU183" s="10">
        <f>IF(U183&lt;0,PMT(BQ183/12,Podsumowanie!E$8-SUM(AB$5:AB183)+1,BR183),0)</f>
        <v>-1888.655940204547</v>
      </c>
      <c r="BV183" s="10">
        <f t="shared" si="152"/>
        <v>-475.71445905035057</v>
      </c>
      <c r="BX183" s="11">
        <f>BX$5+SUM(BZ$5:BZ182)+SUM(R$5:R182)-SUM(S$5:S182)+SUM(CB$5,CB182)</f>
        <v>275707.2762570367</v>
      </c>
      <c r="BY183" s="10">
        <f t="shared" si="148"/>
        <v>-675.4828268297399</v>
      </c>
      <c r="BZ183" s="10">
        <f t="shared" si="149"/>
        <v>-1111.7228881332126</v>
      </c>
      <c r="CA183" s="10">
        <f t="shared" si="159"/>
        <v>-1787.2057149629525</v>
      </c>
      <c r="CB183" s="10">
        <f t="shared" si="160"/>
        <v>-577.1646842919452</v>
      </c>
      <c r="CD183" s="10">
        <f>CD$5+SUM(CE$5:CE182)+SUM(R$5:R182)-SUM(S$5:S182)-SUM(CF$5:CF182)</f>
        <v>328421.6085060193</v>
      </c>
      <c r="CE183" s="10">
        <f t="shared" si="153"/>
        <v>675.4828268297399</v>
      </c>
      <c r="CF183" s="10">
        <f t="shared" si="154"/>
        <v>2364.3703992548976</v>
      </c>
      <c r="CG183" s="10">
        <f t="shared" si="155"/>
        <v>1688.8875724251577</v>
      </c>
      <c r="CI183" s="44">
        <v>0.4804</v>
      </c>
      <c r="CJ183" s="10">
        <f t="shared" si="156"/>
        <v>-1135.84</v>
      </c>
      <c r="CK183" s="4">
        <f t="shared" si="161"/>
        <v>0</v>
      </c>
      <c r="CM183" s="10">
        <f t="shared" si="162"/>
        <v>-235146.70017059962</v>
      </c>
      <c r="CN183" s="4">
        <f t="shared" si="163"/>
        <v>-339.0031594126145</v>
      </c>
    </row>
    <row r="184" spans="1:92" ht="15.75">
      <c r="A184" s="36"/>
      <c r="B184" s="37">
        <v>42705</v>
      </c>
      <c r="C184" s="77">
        <f t="shared" si="144"/>
        <v>4.1256</v>
      </c>
      <c r="D184" s="79">
        <f>C184*(1+Podsumowanie!E$11)</f>
        <v>4.2493680000000005</v>
      </c>
      <c r="E184" s="34">
        <f t="shared" si="195"/>
        <v>-563.3279938145834</v>
      </c>
      <c r="F184" s="7">
        <f t="shared" si="196"/>
        <v>-2393.7879504198886</v>
      </c>
      <c r="G184" s="7">
        <f t="shared" si="197"/>
        <v>-1242.4683365655314</v>
      </c>
      <c r="H184" s="7">
        <f t="shared" si="198"/>
        <v>1151.3196138543572</v>
      </c>
      <c r="I184" s="32"/>
      <c r="K184" s="4">
        <f>IF(B184&lt;Podsumowanie!E$7,0,K183+1)</f>
        <v>114</v>
      </c>
      <c r="L184" s="100">
        <f t="shared" si="145"/>
        <v>-0.0074</v>
      </c>
      <c r="M184" s="38">
        <f>L184+Podsumowanie!E$6</f>
        <v>0.0046</v>
      </c>
      <c r="N184" s="101">
        <f>MAX(Podsumowanie!E$4+SUM(AA$5:AA183)-SUM(X$5:X184)+SUM(W$5:W184),0)</f>
        <v>133245.86674680305</v>
      </c>
      <c r="O184" s="102">
        <f>MAX(Podsumowanie!E$2+SUM(V$5:V183)-SUM(S$5:S184)+SUM(R$5:R184),0)</f>
        <v>293885.2182546143</v>
      </c>
      <c r="P184" s="39">
        <f t="shared" si="192"/>
        <v>360</v>
      </c>
      <c r="Q184" s="40" t="str">
        <f>IF(AND(K184&gt;0,K184&lt;=Podsumowanie!E$9),"tak","nie")</f>
        <v>nie</v>
      </c>
      <c r="R184" s="41"/>
      <c r="S184" s="42"/>
      <c r="T184" s="88">
        <f t="shared" si="206"/>
        <v>-112.65600033093547</v>
      </c>
      <c r="U184" s="89">
        <f>IF(Q184="tak",T184,IF(P184-SUM(AB$5:AB184)+1&gt;0,IF(Podsumowanie!E$7&lt;B184,IF(SUM(AB$5:AB184)-Podsumowanie!E$9+1&gt;0,PMT(M184/12,P184+1-SUM(AB$5:AB184),O184),T184),0),0))</f>
        <v>-1242.4683365655314</v>
      </c>
      <c r="V184" s="89">
        <f t="shared" si="199"/>
        <v>-1129.812336234596</v>
      </c>
      <c r="W184" s="90" t="str">
        <f>IF(R184&gt;0,R184/(C184*(1-Podsumowanie!E$11))," ")</f>
        <v xml:space="preserve"> </v>
      </c>
      <c r="X184" s="90">
        <f t="shared" si="150"/>
        <v>0</v>
      </c>
      <c r="Y184" s="91">
        <f t="shared" si="207"/>
        <v>-51.07758225294117</v>
      </c>
      <c r="Z184" s="90">
        <f>IF(P184-SUM(AB$5:AB184)+1&gt;0,IF(Podsumowanie!E$7&lt;B184,IF(SUM(AB$5:AB184)-Podsumowanie!E$9+1&gt;0,PMT(M184/12,P184+1-SUM(AB$5:AB184),N184),Y184),0),0)</f>
        <v>-563.3279938145834</v>
      </c>
      <c r="AA184" s="90">
        <f t="shared" si="200"/>
        <v>-512.2504115616422</v>
      </c>
      <c r="AB184" s="8">
        <f>IF(AND(Podsumowanie!E$7&lt;B184,SUM(AB$5:AB183)&lt;P183),1," ")</f>
        <v>1</v>
      </c>
      <c r="AD184" s="51">
        <f>IF(OR(B184&lt;Podsumowanie!E$12,Podsumowanie!E$12=""),-F184+S184,0)</f>
        <v>0</v>
      </c>
      <c r="AE184" s="51">
        <f t="shared" si="151"/>
        <v>563.3279938145834</v>
      </c>
      <c r="AG184" s="10">
        <f>Podsumowanie!E$4-SUM(AI$5:AI183)+SUM(W$42:W184)-SUM(X$42:X184)</f>
        <v>124778.22813555226</v>
      </c>
      <c r="AH184" s="10">
        <f t="shared" si="208"/>
        <v>47.83</v>
      </c>
      <c r="AI184" s="10">
        <f t="shared" si="209"/>
        <v>505.18</v>
      </c>
      <c r="AJ184" s="10">
        <f t="shared" si="201"/>
        <v>553.01</v>
      </c>
      <c r="AK184" s="10">
        <f t="shared" si="175"/>
        <v>2349.94</v>
      </c>
      <c r="AL184" s="10">
        <f>Podsumowanie!E$2-SUM(AN$5:AN183)+SUM(R$42:R184)-SUM(S$42:S184)</f>
        <v>275208.62999999983</v>
      </c>
      <c r="AM184" s="10">
        <f t="shared" si="210"/>
        <v>105.5</v>
      </c>
      <c r="AN184" s="10">
        <f t="shared" si="211"/>
        <v>1114.2</v>
      </c>
      <c r="AO184" s="10">
        <f t="shared" si="202"/>
        <v>1219.7</v>
      </c>
      <c r="AP184" s="10">
        <f t="shared" si="203"/>
        <v>1130.24</v>
      </c>
      <c r="AR184" s="43">
        <f t="shared" si="176"/>
        <v>42705</v>
      </c>
      <c r="AS184" s="11">
        <f>AS$5+SUM(AV$5:AV183)-SUM(X$5:X184)+SUM(W$5:W184)</f>
        <v>129248.49074439894</v>
      </c>
      <c r="AT184" s="10">
        <f t="shared" si="212"/>
        <v>-49.54525478535293</v>
      </c>
      <c r="AU184" s="10">
        <f>IF(AB184=1,IF(Q184="tak",AT184,PMT(M184/12,P184+1-SUM(AB$5:AB184),AS184)),0)</f>
        <v>-546.4281540001458</v>
      </c>
      <c r="AV184" s="10">
        <f t="shared" si="186"/>
        <v>-496.8828992147929</v>
      </c>
      <c r="AW184" s="10">
        <f t="shared" si="187"/>
        <v>-2254.3439921430017</v>
      </c>
      <c r="AY184" s="11">
        <f>AY$5+SUM(BA$5:BA183)+SUM(W$5:W183)-SUM(X$5:X183)</f>
        <v>121034.72719148576</v>
      </c>
      <c r="AZ184" s="11">
        <f t="shared" si="213"/>
        <v>-49.54525478535293</v>
      </c>
      <c r="BA184" s="11">
        <f t="shared" si="214"/>
        <v>-490.02</v>
      </c>
      <c r="BB184" s="11">
        <f t="shared" si="215"/>
        <v>-539.5652547853529</v>
      </c>
      <c r="BC184" s="11">
        <f t="shared" si="177"/>
        <v>-2226.030415142452</v>
      </c>
      <c r="BE184" s="172">
        <f t="shared" si="146"/>
        <v>0.0173</v>
      </c>
      <c r="BF184" s="44">
        <f>BE184+Podsumowanie!$E$6</f>
        <v>0.0293</v>
      </c>
      <c r="BG184" s="11">
        <f>BG$5+SUM(BH$5:BH183)+SUM(R$5:R183)-SUM(S$5:S183)</f>
        <v>329327.15117135574</v>
      </c>
      <c r="BH184" s="10">
        <f t="shared" si="204"/>
        <v>-967.7807749400155</v>
      </c>
      <c r="BI184" s="10">
        <f t="shared" si="205"/>
        <v>-804.1071274433936</v>
      </c>
      <c r="BJ184" s="10">
        <f>IF(U184&lt;0,PMT(BF184/12,Podsumowanie!E$8-SUM(AB$5:AB184)+1,BG184),0)</f>
        <v>-1771.887902383409</v>
      </c>
      <c r="BL184" s="11">
        <f>BL$5+SUM(BN$5:BN183)+SUM(R$5:R183)-SUM(S$5:S183)</f>
        <v>275208.91364902485</v>
      </c>
      <c r="BM184" s="11">
        <f aca="true" t="shared" si="216" ref="BM184:BM241">IF(AB184=1,-BF184*BL184/12,0)</f>
        <v>-671.968430826369</v>
      </c>
      <c r="BN184" s="11">
        <f aca="true" t="shared" si="217" ref="BN184:BN241">IF(AB184=1,-BL184/(P184-K184+1),0)</f>
        <v>-1114.206128133704</v>
      </c>
      <c r="BO184" s="11">
        <f t="shared" si="191"/>
        <v>-1786.1745589600728</v>
      </c>
      <c r="BQ184" s="44">
        <f t="shared" si="147"/>
        <v>0.0294</v>
      </c>
      <c r="BR184" s="11">
        <f>BR$5+SUM(BS$5:BS183)+SUM(R$5:R183)-SUM(S$5:S183)+SUM(BV$5:BV183)</f>
        <v>350227.37323088414</v>
      </c>
      <c r="BS184" s="10">
        <f t="shared" si="157"/>
        <v>-1028.0369909054466</v>
      </c>
      <c r="BT184" s="10">
        <f t="shared" si="158"/>
        <v>-858.0570644156661</v>
      </c>
      <c r="BU184" s="10">
        <f>IF(U184&lt;0,PMT(BQ184/12,Podsumowanie!E$8-SUM(AB$5:AB184)+1,BR184),0)</f>
        <v>-1886.0940553211128</v>
      </c>
      <c r="BV184" s="10">
        <f t="shared" si="152"/>
        <v>-507.6938950987758</v>
      </c>
      <c r="BX184" s="11">
        <f>BX$5+SUM(BZ$5:BZ183)+SUM(R$5:R183)-SUM(S$5:S183)+SUM(CB$5,CB183)</f>
        <v>274529.32495396</v>
      </c>
      <c r="BY184" s="10">
        <f t="shared" si="148"/>
        <v>-672.5968461372021</v>
      </c>
      <c r="BZ184" s="10">
        <f t="shared" si="149"/>
        <v>-1111.4547568986236</v>
      </c>
      <c r="CA184" s="10">
        <f t="shared" si="159"/>
        <v>-1784.0516030358258</v>
      </c>
      <c r="CB184" s="10">
        <f t="shared" si="160"/>
        <v>-609.7363473840628</v>
      </c>
      <c r="CD184" s="10">
        <f>CD$5+SUM(CE$5:CE183)+SUM(R$5:R183)-SUM(S$5:S183)-SUM(CF$5:CF183)</f>
        <v>326732.72093359404</v>
      </c>
      <c r="CE184" s="10">
        <f t="shared" si="153"/>
        <v>672.5968461372021</v>
      </c>
      <c r="CF184" s="10">
        <f t="shared" si="154"/>
        <v>2393.7879504198886</v>
      </c>
      <c r="CG184" s="10">
        <f t="shared" si="155"/>
        <v>1721.1911042826864</v>
      </c>
      <c r="CI184" s="44">
        <v>0.4789</v>
      </c>
      <c r="CJ184" s="10">
        <f t="shared" si="156"/>
        <v>-1146.39</v>
      </c>
      <c r="CK184" s="4">
        <f t="shared" si="161"/>
        <v>0</v>
      </c>
      <c r="CM184" s="10">
        <f t="shared" si="162"/>
        <v>-237540.4881210195</v>
      </c>
      <c r="CN184" s="4">
        <f t="shared" si="163"/>
        <v>-342.4542037078031</v>
      </c>
    </row>
    <row r="185" spans="1:92" ht="15.75">
      <c r="A185" s="36">
        <v>2017</v>
      </c>
      <c r="B185" s="37">
        <v>42736</v>
      </c>
      <c r="C185" s="77">
        <f t="shared" si="144"/>
        <v>4.0792</v>
      </c>
      <c r="D185" s="79">
        <f>C185*(1+Podsumowanie!E$11)</f>
        <v>4.201576</v>
      </c>
      <c r="E185" s="34">
        <f t="shared" si="195"/>
        <v>-563.3279938145835</v>
      </c>
      <c r="F185" s="7">
        <f t="shared" si="196"/>
        <v>-2366.8653789395025</v>
      </c>
      <c r="G185" s="7">
        <f t="shared" si="197"/>
        <v>-1242.4683365655314</v>
      </c>
      <c r="H185" s="7">
        <f t="shared" si="198"/>
        <v>1124.397042373971</v>
      </c>
      <c r="I185" s="32"/>
      <c r="K185" s="4">
        <f>IF(B185&lt;Podsumowanie!E$7,0,K184+1)</f>
        <v>115</v>
      </c>
      <c r="L185" s="100">
        <f t="shared" si="145"/>
        <v>-0.0074</v>
      </c>
      <c r="M185" s="38">
        <f>L185+Podsumowanie!E$6</f>
        <v>0.0046</v>
      </c>
      <c r="N185" s="101">
        <f>MAX(Podsumowanie!E$4+SUM(AA$5:AA184)-SUM(X$5:X185)+SUM(W$5:W185),0)</f>
        <v>132733.61633524142</v>
      </c>
      <c r="O185" s="102">
        <f>MAX(Podsumowanie!E$2+SUM(V$5:V184)-SUM(S$5:S185)+SUM(R$5:R185),0)</f>
        <v>292755.40591837966</v>
      </c>
      <c r="P185" s="39">
        <f t="shared" si="192"/>
        <v>360</v>
      </c>
      <c r="Q185" s="40" t="str">
        <f>IF(AND(K185&gt;0,K185&lt;=Podsumowanie!E$9),"tak","nie")</f>
        <v>nie</v>
      </c>
      <c r="R185" s="41"/>
      <c r="S185" s="42"/>
      <c r="T185" s="88">
        <f t="shared" si="206"/>
        <v>-112.22290560204554</v>
      </c>
      <c r="U185" s="89">
        <f>IF(Q185="tak",T185,IF(P185-SUM(AB$5:AB185)+1&gt;0,IF(Podsumowanie!E$7&lt;B185,IF(SUM(AB$5:AB185)-Podsumowanie!E$9+1&gt;0,PMT(M185/12,P185+1-SUM(AB$5:AB185),O185),T185),0),0))</f>
        <v>-1242.4683365655314</v>
      </c>
      <c r="V185" s="89">
        <f t="shared" si="199"/>
        <v>-1130.245430963486</v>
      </c>
      <c r="W185" s="90" t="str">
        <f>IF(R185&gt;0,R185/(C185*(1-Podsumowanie!E$11))," ")</f>
        <v xml:space="preserve"> </v>
      </c>
      <c r="X185" s="90">
        <f t="shared" si="150"/>
        <v>0</v>
      </c>
      <c r="Y185" s="91">
        <f t="shared" si="207"/>
        <v>-50.88121959517588</v>
      </c>
      <c r="Z185" s="90">
        <f>IF(P185-SUM(AB$5:AB185)+1&gt;0,IF(Podsumowanie!E$7&lt;B185,IF(SUM(AB$5:AB185)-Podsumowanie!E$9+1&gt;0,PMT(M185/12,P185+1-SUM(AB$5:AB185),N185),Y185),0),0)</f>
        <v>-563.3279938145835</v>
      </c>
      <c r="AA185" s="90">
        <f t="shared" si="200"/>
        <v>-512.4467742194076</v>
      </c>
      <c r="AB185" s="8">
        <f>IF(AND(Podsumowanie!E$7&lt;B185,SUM(AB$5:AB184)&lt;P184),1," ")</f>
        <v>1</v>
      </c>
      <c r="AD185" s="51">
        <f>IF(OR(B185&lt;Podsumowanie!E$12,Podsumowanie!E$12=""),-F185+S185,0)</f>
        <v>0</v>
      </c>
      <c r="AE185" s="51">
        <f t="shared" si="151"/>
        <v>563.3279938145835</v>
      </c>
      <c r="AG185" s="10">
        <f>Podsumowanie!E$4-SUM(AI$5:AI184)+SUM(W$42:W185)-SUM(X$42:X185)</f>
        <v>124273.04813555226</v>
      </c>
      <c r="AH185" s="10">
        <f t="shared" si="208"/>
        <v>47.64</v>
      </c>
      <c r="AI185" s="10">
        <f t="shared" si="209"/>
        <v>505.17</v>
      </c>
      <c r="AJ185" s="10">
        <f t="shared" si="201"/>
        <v>552.8100000000001</v>
      </c>
      <c r="AK185" s="10">
        <f t="shared" si="175"/>
        <v>2322.67</v>
      </c>
      <c r="AL185" s="10">
        <f>Podsumowanie!E$2-SUM(AN$5:AN184)+SUM(R$42:R185)-SUM(S$42:S185)</f>
        <v>274094.4299999998</v>
      </c>
      <c r="AM185" s="10">
        <f t="shared" si="210"/>
        <v>105.07</v>
      </c>
      <c r="AN185" s="10">
        <f t="shared" si="211"/>
        <v>1114.21</v>
      </c>
      <c r="AO185" s="10">
        <f t="shared" si="202"/>
        <v>1219.28</v>
      </c>
      <c r="AP185" s="10">
        <f t="shared" si="203"/>
        <v>1103.39</v>
      </c>
      <c r="AR185" s="43">
        <f t="shared" si="176"/>
        <v>42736</v>
      </c>
      <c r="AS185" s="11">
        <f>AS$5+SUM(AV$5:AV184)-SUM(X$5:X185)+SUM(W$5:W185)</f>
        <v>128751.60784518415</v>
      </c>
      <c r="AT185" s="10">
        <f t="shared" si="212"/>
        <v>-49.354783007320584</v>
      </c>
      <c r="AU185" s="10">
        <f>IF(AB185=1,IF(Q185="tak",AT185,PMT(M185/12,P185+1-SUM(AB$5:AB185),AS185)),0)</f>
        <v>-546.4281540001458</v>
      </c>
      <c r="AV185" s="10">
        <f t="shared" si="186"/>
        <v>-497.07337099282523</v>
      </c>
      <c r="AW185" s="10">
        <f t="shared" si="187"/>
        <v>-2228.989725797395</v>
      </c>
      <c r="AY185" s="11">
        <f>AY$5+SUM(BA$5:BA184)+SUM(W$5:W184)-SUM(X$5:X184)</f>
        <v>120544.70719148575</v>
      </c>
      <c r="AZ185" s="11">
        <f t="shared" si="213"/>
        <v>-49.354783007320584</v>
      </c>
      <c r="BA185" s="11">
        <f t="shared" si="214"/>
        <v>-490.02</v>
      </c>
      <c r="BB185" s="11">
        <f t="shared" si="215"/>
        <v>-539.3747830073206</v>
      </c>
      <c r="BC185" s="11">
        <f t="shared" si="177"/>
        <v>-2200.2176148434623</v>
      </c>
      <c r="BE185" s="172">
        <f t="shared" si="146"/>
        <v>0.0173</v>
      </c>
      <c r="BF185" s="44">
        <f>BE185+Podsumowanie!$E$6</f>
        <v>0.0293</v>
      </c>
      <c r="BG185" s="11">
        <f>BG$5+SUM(BH$5:BH184)+SUM(R$5:R184)-SUM(S$5:S184)</f>
        <v>328359.37039641576</v>
      </c>
      <c r="BH185" s="10">
        <f t="shared" si="204"/>
        <v>-970.143772998827</v>
      </c>
      <c r="BI185" s="10">
        <f t="shared" si="205"/>
        <v>-801.7441293845818</v>
      </c>
      <c r="BJ185" s="10">
        <f>IF(U185&lt;0,PMT(BF185/12,Podsumowanie!E$8-SUM(AB$5:AB185)+1,BG185),0)</f>
        <v>-1771.8879023834088</v>
      </c>
      <c r="BL185" s="11">
        <f>BL$5+SUM(BN$5:BN184)+SUM(R$5:R184)-SUM(S$5:S184)</f>
        <v>274094.7075208911</v>
      </c>
      <c r="BM185" s="11">
        <f t="shared" si="216"/>
        <v>-669.2479108635091</v>
      </c>
      <c r="BN185" s="11">
        <f t="shared" si="217"/>
        <v>-1114.2061281337037</v>
      </c>
      <c r="BO185" s="11">
        <f t="shared" si="191"/>
        <v>-1783.4540389972128</v>
      </c>
      <c r="BQ185" s="44">
        <f t="shared" si="147"/>
        <v>0.0294</v>
      </c>
      <c r="BR185" s="11">
        <f>BR$5+SUM(BS$5:BS184)+SUM(R$5:R184)-SUM(S$5:S184)+SUM(BV$5:BV184)</f>
        <v>348691.64234487986</v>
      </c>
      <c r="BS185" s="10">
        <f t="shared" si="157"/>
        <v>-1029.0573773447682</v>
      </c>
      <c r="BT185" s="10">
        <f t="shared" si="158"/>
        <v>-854.2945237449557</v>
      </c>
      <c r="BU185" s="10">
        <f>IF(U185&lt;0,PMT(BQ185/12,Podsumowanie!E$8-SUM(AB$5:AB185)+1,BR185),0)</f>
        <v>-1883.3519010897237</v>
      </c>
      <c r="BV185" s="10">
        <f t="shared" si="152"/>
        <v>-483.51347784977884</v>
      </c>
      <c r="BX185" s="11">
        <f>BX$5+SUM(BZ$5:BZ184)+SUM(R$5:R184)-SUM(S$5:S184)+SUM(CB$5,CB184)</f>
        <v>273385.29853396927</v>
      </c>
      <c r="BY185" s="10">
        <f t="shared" si="148"/>
        <v>-669.7939814082247</v>
      </c>
      <c r="BZ185" s="10">
        <f t="shared" si="149"/>
        <v>-1111.3223517641027</v>
      </c>
      <c r="CA185" s="10">
        <f t="shared" si="159"/>
        <v>-1781.1163331723274</v>
      </c>
      <c r="CB185" s="10">
        <f t="shared" si="160"/>
        <v>-585.7490457671752</v>
      </c>
      <c r="CD185" s="10">
        <f>CD$5+SUM(CE$5:CE184)+SUM(R$5:R184)-SUM(S$5:S184)-SUM(CF$5:CF184)</f>
        <v>325011.52982931136</v>
      </c>
      <c r="CE185" s="10">
        <f t="shared" si="153"/>
        <v>669.7939814082247</v>
      </c>
      <c r="CF185" s="10">
        <f t="shared" si="154"/>
        <v>2366.8653789395025</v>
      </c>
      <c r="CG185" s="10">
        <f t="shared" si="155"/>
        <v>1697.0713975312779</v>
      </c>
      <c r="CI185" s="44">
        <v>0.4686</v>
      </c>
      <c r="CJ185" s="10">
        <f t="shared" si="156"/>
        <v>-1109.11</v>
      </c>
      <c r="CK185" s="4">
        <f t="shared" si="161"/>
        <v>0</v>
      </c>
      <c r="CM185" s="10">
        <f t="shared" si="162"/>
        <v>-239907.353499959</v>
      </c>
      <c r="CN185" s="4">
        <f t="shared" si="163"/>
        <v>-345.8664346291075</v>
      </c>
    </row>
    <row r="186" spans="1:92" ht="15.75">
      <c r="A186" s="36"/>
      <c r="B186" s="37">
        <v>42767</v>
      </c>
      <c r="C186" s="77">
        <f t="shared" si="144"/>
        <v>4.0424</v>
      </c>
      <c r="D186" s="79">
        <f>C186*(1+Podsumowanie!E$11)</f>
        <v>4.163672</v>
      </c>
      <c r="E186" s="34">
        <f aca="true" t="shared" si="218" ref="E186:E193">Z186</f>
        <v>-563.3279938145835</v>
      </c>
      <c r="F186" s="7">
        <f aca="true" t="shared" si="219" ref="F186:F193">E186*D186</f>
        <v>-2345.5129946619545</v>
      </c>
      <c r="G186" s="7">
        <f aca="true" t="shared" si="220" ref="G186:G193">U186</f>
        <v>-1242.4683365655314</v>
      </c>
      <c r="H186" s="7">
        <f aca="true" t="shared" si="221" ref="H186:H193">G186-F186</f>
        <v>1103.044658096423</v>
      </c>
      <c r="I186" s="32"/>
      <c r="K186" s="4">
        <f>IF(B186&lt;Podsumowanie!E$7,0,K185+1)</f>
        <v>116</v>
      </c>
      <c r="L186" s="100">
        <f t="shared" si="145"/>
        <v>-0.0074</v>
      </c>
      <c r="M186" s="38">
        <f>L186+Podsumowanie!E$6</f>
        <v>0.0046</v>
      </c>
      <c r="N186" s="101">
        <f>MAX(Podsumowanie!E$4+SUM(AA$5:AA185)-SUM(X$5:X186)+SUM(W$5:W186),0)</f>
        <v>132221.16956102202</v>
      </c>
      <c r="O186" s="102">
        <f>MAX(Podsumowanie!E$2+SUM(V$5:V185)-SUM(S$5:S186)+SUM(R$5:R186),0)</f>
        <v>291625.1604874162</v>
      </c>
      <c r="P186" s="39">
        <f t="shared" si="192"/>
        <v>360</v>
      </c>
      <c r="Q186" s="40" t="str">
        <f>IF(AND(K186&gt;0,K186&lt;=Podsumowanie!E$9),"tak","nie")</f>
        <v>nie</v>
      </c>
      <c r="R186" s="41"/>
      <c r="S186" s="42"/>
      <c r="T186" s="88">
        <f t="shared" si="206"/>
        <v>-111.78964485350953</v>
      </c>
      <c r="U186" s="89">
        <f>IF(Q186="tak",T186,IF(P186-SUM(AB$5:AB186)+1&gt;0,IF(Podsumowanie!E$7&lt;B186,IF(SUM(AB$5:AB186)-Podsumowanie!E$9+1&gt;0,PMT(M186/12,P186+1-SUM(AB$5:AB186),O186),T186),0),0))</f>
        <v>-1242.4683365655314</v>
      </c>
      <c r="V186" s="89">
        <f aca="true" t="shared" si="222" ref="V186:V193">U186-T186</f>
        <v>-1130.6786917120219</v>
      </c>
      <c r="W186" s="90" t="str">
        <f>IF(R186&gt;0,R186/(C186*(1-Podsumowanie!E$11))," ")</f>
        <v xml:space="preserve"> </v>
      </c>
      <c r="X186" s="90">
        <f t="shared" si="150"/>
        <v>0</v>
      </c>
      <c r="Y186" s="91">
        <f t="shared" si="207"/>
        <v>-50.68478166505844</v>
      </c>
      <c r="Z186" s="90">
        <f>IF(P186-SUM(AB$5:AB186)+1&gt;0,IF(Podsumowanie!E$7&lt;B186,IF(SUM(AB$5:AB186)-Podsumowanie!E$9+1&gt;0,PMT(M186/12,P186+1-SUM(AB$5:AB186),N186),Y186),0),0)</f>
        <v>-563.3279938145835</v>
      </c>
      <c r="AA186" s="90">
        <f aca="true" t="shared" si="223" ref="AA186:AA193">Z186-Y186</f>
        <v>-512.643212149525</v>
      </c>
      <c r="AB186" s="8">
        <f>IF(AND(Podsumowanie!E$7&lt;B186,SUM(AB$5:AB185)&lt;P185),1," ")</f>
        <v>1</v>
      </c>
      <c r="AD186" s="51">
        <f>IF(OR(B186&lt;Podsumowanie!E$12,Podsumowanie!E$12=""),-F186+S186,0)</f>
        <v>0</v>
      </c>
      <c r="AE186" s="51">
        <f t="shared" si="151"/>
        <v>563.3279938145835</v>
      </c>
      <c r="AG186" s="10">
        <f>Podsumowanie!E$4-SUM(AI$5:AI185)+SUM(W$42:W186)-SUM(X$42:X186)</f>
        <v>123767.87813555225</v>
      </c>
      <c r="AH186" s="10">
        <f t="shared" si="208"/>
        <v>47.44</v>
      </c>
      <c r="AI186" s="10">
        <f t="shared" si="209"/>
        <v>505.18</v>
      </c>
      <c r="AJ186" s="10">
        <f aca="true" t="shared" si="224" ref="AJ186:AJ193">AI186+AH186</f>
        <v>552.62</v>
      </c>
      <c r="AK186" s="10">
        <f t="shared" si="175"/>
        <v>2300.93</v>
      </c>
      <c r="AL186" s="10">
        <f>Podsumowanie!E$2-SUM(AN$5:AN185)+SUM(R$42:R186)-SUM(S$42:S186)</f>
        <v>272980.21999999986</v>
      </c>
      <c r="AM186" s="10">
        <f t="shared" si="210"/>
        <v>104.64</v>
      </c>
      <c r="AN186" s="10">
        <f t="shared" si="211"/>
        <v>1114.2</v>
      </c>
      <c r="AO186" s="10">
        <f aca="true" t="shared" si="225" ref="AO186:AO193">AN186+AM186</f>
        <v>1218.8400000000001</v>
      </c>
      <c r="AP186" s="10">
        <f aca="true" t="shared" si="226" ref="AP186:AP193">AK186-AO186</f>
        <v>1082.0899999999997</v>
      </c>
      <c r="AR186" s="43">
        <f t="shared" si="176"/>
        <v>42767</v>
      </c>
      <c r="AS186" s="11">
        <f>AS$5+SUM(AV$5:AV185)-SUM(X$5:X186)+SUM(W$5:W186)</f>
        <v>128254.53447419131</v>
      </c>
      <c r="AT186" s="10">
        <f t="shared" si="212"/>
        <v>-49.16423821510667</v>
      </c>
      <c r="AU186" s="10">
        <f>IF(AB186=1,IF(Q186="tak",AT186,PMT(M186/12,P186+1-SUM(AB$5:AB186),AS186)),0)</f>
        <v>-546.4281540001458</v>
      </c>
      <c r="AV186" s="10">
        <f t="shared" si="186"/>
        <v>-497.26391578503916</v>
      </c>
      <c r="AW186" s="10">
        <f t="shared" si="187"/>
        <v>-2208.8811697301894</v>
      </c>
      <c r="AY186" s="11">
        <f>AY$5+SUM(BA$5:BA185)+SUM(W$5:W185)-SUM(X$5:X185)</f>
        <v>120054.68719148575</v>
      </c>
      <c r="AZ186" s="11">
        <f t="shared" si="213"/>
        <v>-49.16423821510667</v>
      </c>
      <c r="BA186" s="11">
        <f t="shared" si="214"/>
        <v>-490.02</v>
      </c>
      <c r="BB186" s="11">
        <f t="shared" si="215"/>
        <v>-539.1842382151067</v>
      </c>
      <c r="BC186" s="11">
        <f t="shared" si="177"/>
        <v>-2179.598364560747</v>
      </c>
      <c r="BE186" s="172">
        <f t="shared" si="146"/>
        <v>0.0173</v>
      </c>
      <c r="BF186" s="44">
        <f>BE186+Podsumowanie!$E$6</f>
        <v>0.0293</v>
      </c>
      <c r="BG186" s="11">
        <f>BG$5+SUM(BH$5:BH185)+SUM(R$5:R185)-SUM(S$5:S185)</f>
        <v>327389.22662341694</v>
      </c>
      <c r="BH186" s="10">
        <f aca="true" t="shared" si="227" ref="BH186:BH193">IF(BJ186&lt;0,BJ186-BI186,0)</f>
        <v>-972.5125407112324</v>
      </c>
      <c r="BI186" s="10">
        <f aca="true" t="shared" si="228" ref="BI186:BI193">IF(BJ186&lt;0,-BG186*BF186/12,0)</f>
        <v>-799.3753616721764</v>
      </c>
      <c r="BJ186" s="10">
        <f>IF(U186&lt;0,PMT(BF186/12,Podsumowanie!E$8-SUM(AB$5:AB186)+1,BG186),0)</f>
        <v>-1771.8879023834088</v>
      </c>
      <c r="BL186" s="11">
        <f>BL$5+SUM(BN$5:BN185)+SUM(R$5:R185)-SUM(S$5:S185)</f>
        <v>272980.5013927574</v>
      </c>
      <c r="BM186" s="11">
        <f t="shared" si="216"/>
        <v>-666.5273909006493</v>
      </c>
      <c r="BN186" s="11">
        <f t="shared" si="217"/>
        <v>-1114.2061281337037</v>
      </c>
      <c r="BO186" s="11">
        <f t="shared" si="191"/>
        <v>-1780.7335190343529</v>
      </c>
      <c r="BQ186" s="44">
        <f t="shared" si="147"/>
        <v>0.0294</v>
      </c>
      <c r="BR186" s="11">
        <f>BR$5+SUM(BS$5:BS185)+SUM(R$5:R185)-SUM(S$5:S185)+SUM(BV$5:BV185)</f>
        <v>347179.07148968533</v>
      </c>
      <c r="BS186" s="10">
        <f t="shared" si="157"/>
        <v>-1030.1438948695395</v>
      </c>
      <c r="BT186" s="10">
        <f t="shared" si="158"/>
        <v>-850.5887251497289</v>
      </c>
      <c r="BU186" s="10">
        <f>IF(U186&lt;0,PMT(BQ186/12,Podsumowanie!E$8-SUM(AB$5:AB186)+1,BR186),0)</f>
        <v>-1880.7326200192683</v>
      </c>
      <c r="BV186" s="10">
        <f t="shared" si="152"/>
        <v>-464.7803746426862</v>
      </c>
      <c r="BX186" s="11">
        <f>BX$5+SUM(BZ$5:BZ185)+SUM(R$5:R185)-SUM(S$5:S185)+SUM(CB$5,CB185)</f>
        <v>272297.963483822</v>
      </c>
      <c r="BY186" s="10">
        <f t="shared" si="148"/>
        <v>-667.1300105353639</v>
      </c>
      <c r="BZ186" s="10">
        <f t="shared" si="149"/>
        <v>-1111.4202591176409</v>
      </c>
      <c r="CA186" s="10">
        <f t="shared" si="159"/>
        <v>-1778.5502696530048</v>
      </c>
      <c r="CB186" s="10">
        <f t="shared" si="160"/>
        <v>-566.9627250089497</v>
      </c>
      <c r="CD186" s="10">
        <f>CD$5+SUM(CE$5:CE185)+SUM(R$5:R185)-SUM(S$5:S185)-SUM(CF$5:CF185)</f>
        <v>323314.4584317801</v>
      </c>
      <c r="CE186" s="10">
        <f t="shared" si="153"/>
        <v>667.1300105353639</v>
      </c>
      <c r="CF186" s="10">
        <f t="shared" si="154"/>
        <v>2345.5129946619545</v>
      </c>
      <c r="CG186" s="10">
        <f t="shared" si="155"/>
        <v>1678.3829841265906</v>
      </c>
      <c r="CI186" s="44">
        <v>0.4627</v>
      </c>
      <c r="CJ186" s="10">
        <f t="shared" si="156"/>
        <v>-1085.27</v>
      </c>
      <c r="CK186" s="4">
        <f t="shared" si="161"/>
        <v>0</v>
      </c>
      <c r="CM186" s="10">
        <f t="shared" si="162"/>
        <v>-242252.86649462095</v>
      </c>
      <c r="CN186" s="4">
        <f t="shared" si="163"/>
        <v>-349.24788252974514</v>
      </c>
    </row>
    <row r="187" spans="1:92" ht="15.75">
      <c r="A187" s="36"/>
      <c r="B187" s="37">
        <v>42795</v>
      </c>
      <c r="C187" s="77">
        <f t="shared" si="144"/>
        <v>4.0088</v>
      </c>
      <c r="D187" s="79">
        <f>C187*(1+Podsumowanie!E$11)</f>
        <v>4.129064</v>
      </c>
      <c r="E187" s="34">
        <f t="shared" si="218"/>
        <v>-563.3279938145835</v>
      </c>
      <c r="F187" s="7">
        <f t="shared" si="219"/>
        <v>-2326.017339452019</v>
      </c>
      <c r="G187" s="7">
        <f t="shared" si="220"/>
        <v>-1242.4683365655314</v>
      </c>
      <c r="H187" s="7">
        <f t="shared" si="221"/>
        <v>1083.5490028864874</v>
      </c>
      <c r="I187" s="32"/>
      <c r="K187" s="4">
        <f>IF(B187&lt;Podsumowanie!E$7,0,K186+1)</f>
        <v>117</v>
      </c>
      <c r="L187" s="100">
        <f t="shared" si="145"/>
        <v>-0.0074</v>
      </c>
      <c r="M187" s="38">
        <f>L187+Podsumowanie!E$6</f>
        <v>0.0046</v>
      </c>
      <c r="N187" s="101">
        <f>MAX(Podsumowanie!E$4+SUM(AA$5:AA186)-SUM(X$5:X187)+SUM(W$5:W187),0)</f>
        <v>131708.5263488725</v>
      </c>
      <c r="O187" s="102">
        <f>MAX(Podsumowanie!E$2+SUM(V$5:V186)-SUM(S$5:S187)+SUM(R$5:R187),0)</f>
        <v>290494.48179570417</v>
      </c>
      <c r="P187" s="39">
        <f t="shared" si="192"/>
        <v>360</v>
      </c>
      <c r="Q187" s="40" t="str">
        <f>IF(AND(K187&gt;0,K187&lt;=Podsumowanie!E$9),"tak","nie")</f>
        <v>nie</v>
      </c>
      <c r="R187" s="41"/>
      <c r="S187" s="42"/>
      <c r="T187" s="88">
        <f t="shared" si="206"/>
        <v>-111.35621802168659</v>
      </c>
      <c r="U187" s="89">
        <f>IF(Q187="tak",T187,IF(P187-SUM(AB$5:AB187)+1&gt;0,IF(Podsumowanie!E$7&lt;B187,IF(SUM(AB$5:AB187)-Podsumowanie!E$9+1&gt;0,PMT(M187/12,P187+1-SUM(AB$5:AB187),O187),T187),0),0))</f>
        <v>-1242.4683365655314</v>
      </c>
      <c r="V187" s="89">
        <f t="shared" si="222"/>
        <v>-1131.1121185438449</v>
      </c>
      <c r="W187" s="90" t="str">
        <f>IF(R187&gt;0,R187/(C187*(1-Podsumowanie!E$11))," ")</f>
        <v xml:space="preserve"> </v>
      </c>
      <c r="X187" s="90">
        <f t="shared" si="150"/>
        <v>0</v>
      </c>
      <c r="Y187" s="91">
        <f t="shared" si="207"/>
        <v>-50.488268433734454</v>
      </c>
      <c r="Z187" s="90">
        <f>IF(P187-SUM(AB$5:AB187)+1&gt;0,IF(Podsumowanie!E$7&lt;B187,IF(SUM(AB$5:AB187)-Podsumowanie!E$9+1&gt;0,PMT(M187/12,P187+1-SUM(AB$5:AB187),N187),Y187),0),0)</f>
        <v>-563.3279938145835</v>
      </c>
      <c r="AA187" s="90">
        <f t="shared" si="223"/>
        <v>-512.839725380849</v>
      </c>
      <c r="AB187" s="8">
        <f>IF(AND(Podsumowanie!E$7&lt;B187,SUM(AB$5:AB186)&lt;P186),1," ")</f>
        <v>1</v>
      </c>
      <c r="AD187" s="51">
        <f>IF(OR(B187&lt;Podsumowanie!E$12,Podsumowanie!E$12=""),-F187+S187,0)</f>
        <v>0</v>
      </c>
      <c r="AE187" s="51">
        <f t="shared" si="151"/>
        <v>563.3279938145835</v>
      </c>
      <c r="AG187" s="10">
        <f>Podsumowanie!E$4-SUM(AI$5:AI186)+SUM(W$42:W187)-SUM(X$42:X187)</f>
        <v>123262.69813555226</v>
      </c>
      <c r="AH187" s="10">
        <f t="shared" si="208"/>
        <v>47.25</v>
      </c>
      <c r="AI187" s="10">
        <f t="shared" si="209"/>
        <v>505.17</v>
      </c>
      <c r="AJ187" s="10">
        <f t="shared" si="224"/>
        <v>552.4200000000001</v>
      </c>
      <c r="AK187" s="10">
        <f t="shared" si="175"/>
        <v>2280.98</v>
      </c>
      <c r="AL187" s="10">
        <f>Podsumowanie!E$2-SUM(AN$5:AN186)+SUM(R$42:R187)-SUM(S$42:S187)</f>
        <v>271866.01999999984</v>
      </c>
      <c r="AM187" s="10">
        <f t="shared" si="210"/>
        <v>104.22</v>
      </c>
      <c r="AN187" s="10">
        <f t="shared" si="211"/>
        <v>1114.21</v>
      </c>
      <c r="AO187" s="10">
        <f t="shared" si="225"/>
        <v>1218.43</v>
      </c>
      <c r="AP187" s="10">
        <f t="shared" si="226"/>
        <v>1062.55</v>
      </c>
      <c r="AR187" s="43">
        <f t="shared" si="176"/>
        <v>42795</v>
      </c>
      <c r="AS187" s="11">
        <f>AS$5+SUM(AV$5:AV186)-SUM(X$5:X187)+SUM(W$5:W187)</f>
        <v>127757.27055840628</v>
      </c>
      <c r="AT187" s="10">
        <f t="shared" si="212"/>
        <v>-48.9736203807224</v>
      </c>
      <c r="AU187" s="10">
        <f>IF(AB187=1,IF(Q187="tak",AT187,PMT(M187/12,P187+1-SUM(AB$5:AB187),AS187)),0)</f>
        <v>-546.4281540001458</v>
      </c>
      <c r="AV187" s="10">
        <f t="shared" si="186"/>
        <v>-497.4545336194234</v>
      </c>
      <c r="AW187" s="10">
        <f t="shared" si="187"/>
        <v>-2190.5211837557845</v>
      </c>
      <c r="AY187" s="11">
        <f>AY$5+SUM(BA$5:BA186)+SUM(W$5:W186)-SUM(X$5:X186)</f>
        <v>119564.66719148576</v>
      </c>
      <c r="AZ187" s="11">
        <f t="shared" si="213"/>
        <v>-48.9736203807224</v>
      </c>
      <c r="BA187" s="11">
        <f t="shared" si="214"/>
        <v>-490.02</v>
      </c>
      <c r="BB187" s="11">
        <f t="shared" si="215"/>
        <v>-538.9936203807224</v>
      </c>
      <c r="BC187" s="11">
        <f t="shared" si="177"/>
        <v>-2160.71762538224</v>
      </c>
      <c r="BE187" s="172">
        <f t="shared" si="146"/>
        <v>0.0173</v>
      </c>
      <c r="BF187" s="44">
        <f>BE187+Podsumowanie!$E$6</f>
        <v>0.0293</v>
      </c>
      <c r="BG187" s="11">
        <f>BG$5+SUM(BH$5:BH186)+SUM(R$5:R186)-SUM(S$5:S186)</f>
        <v>326416.7140827057</v>
      </c>
      <c r="BH187" s="10">
        <f t="shared" si="227"/>
        <v>-974.8870921648025</v>
      </c>
      <c r="BI187" s="10">
        <f t="shared" si="228"/>
        <v>-797.0008102186063</v>
      </c>
      <c r="BJ187" s="10">
        <f>IF(U187&lt;0,PMT(BF187/12,Podsumowanie!E$8-SUM(AB$5:AB187)+1,BG187),0)</f>
        <v>-1771.8879023834088</v>
      </c>
      <c r="BL187" s="11">
        <f>BL$5+SUM(BN$5:BN186)+SUM(R$5:R186)-SUM(S$5:S186)</f>
        <v>271866.2952646237</v>
      </c>
      <c r="BM187" s="11">
        <f t="shared" si="216"/>
        <v>-663.8068709377895</v>
      </c>
      <c r="BN187" s="11">
        <f t="shared" si="217"/>
        <v>-1114.2061281337037</v>
      </c>
      <c r="BO187" s="11">
        <f t="shared" si="191"/>
        <v>-1778.0129990714931</v>
      </c>
      <c r="BQ187" s="44">
        <f t="shared" si="147"/>
        <v>0.0294</v>
      </c>
      <c r="BR187" s="11">
        <f>BR$5+SUM(BS$5:BS186)+SUM(R$5:R186)-SUM(S$5:S186)+SUM(BV$5:BV186)</f>
        <v>345684.14722017315</v>
      </c>
      <c r="BS187" s="10">
        <f t="shared" si="157"/>
        <v>-1031.2811659025067</v>
      </c>
      <c r="BT187" s="10">
        <f t="shared" si="158"/>
        <v>-846.9261606894243</v>
      </c>
      <c r="BU187" s="10">
        <f>IF(U187&lt;0,PMT(BQ187/12,Podsumowanie!E$8-SUM(AB$5:AB187)+1,BR187),0)</f>
        <v>-1878.207326591931</v>
      </c>
      <c r="BV187" s="10">
        <f t="shared" si="152"/>
        <v>-447.8100128600879</v>
      </c>
      <c r="BX187" s="11">
        <f>BX$5+SUM(BZ$5:BZ186)+SUM(R$5:R186)-SUM(S$5:S186)+SUM(CB$5,CB186)</f>
        <v>271205.3295454626</v>
      </c>
      <c r="BY187" s="10">
        <f t="shared" si="148"/>
        <v>-664.4530573863834</v>
      </c>
      <c r="BZ187" s="10">
        <f t="shared" si="149"/>
        <v>-1111.4972522355026</v>
      </c>
      <c r="CA187" s="10">
        <f t="shared" si="159"/>
        <v>-1775.950309621886</v>
      </c>
      <c r="CB187" s="10">
        <f t="shared" si="160"/>
        <v>-550.0670298301329</v>
      </c>
      <c r="CD187" s="10">
        <f>CD$5+SUM(CE$5:CE186)+SUM(R$5:R186)-SUM(S$5:S186)-SUM(CF$5:CF186)</f>
        <v>321636.07544765354</v>
      </c>
      <c r="CE187" s="10">
        <f t="shared" si="153"/>
        <v>664.4530573863834</v>
      </c>
      <c r="CF187" s="10">
        <f t="shared" si="154"/>
        <v>2326.017339452019</v>
      </c>
      <c r="CG187" s="10">
        <f t="shared" si="155"/>
        <v>1661.5642820656353</v>
      </c>
      <c r="CI187" s="44">
        <v>0.4584</v>
      </c>
      <c r="CJ187" s="10">
        <f t="shared" si="156"/>
        <v>-1066.25</v>
      </c>
      <c r="CK187" s="4">
        <f t="shared" si="161"/>
        <v>0</v>
      </c>
      <c r="CM187" s="10">
        <f t="shared" si="162"/>
        <v>-244578.88383407297</v>
      </c>
      <c r="CN187" s="4">
        <f t="shared" si="163"/>
        <v>-352.60122419412187</v>
      </c>
    </row>
    <row r="188" spans="1:92" ht="15.75">
      <c r="A188" s="36"/>
      <c r="B188" s="37">
        <v>42826</v>
      </c>
      <c r="C188" s="77">
        <f t="shared" si="144"/>
        <v>3.9534</v>
      </c>
      <c r="D188" s="79">
        <f>C188*(1+Podsumowanie!E$11)</f>
        <v>4.072002</v>
      </c>
      <c r="E188" s="34">
        <f t="shared" si="218"/>
        <v>-563.3279938145834</v>
      </c>
      <c r="F188" s="7">
        <f t="shared" si="219"/>
        <v>-2293.872717468971</v>
      </c>
      <c r="G188" s="7">
        <f t="shared" si="220"/>
        <v>-1242.468336565531</v>
      </c>
      <c r="H188" s="7">
        <f t="shared" si="221"/>
        <v>1051.4043809034401</v>
      </c>
      <c r="I188" s="32"/>
      <c r="K188" s="4">
        <f>IF(B188&lt;Podsumowanie!E$7,0,K187+1)</f>
        <v>118</v>
      </c>
      <c r="L188" s="100">
        <f t="shared" si="145"/>
        <v>-0.0074</v>
      </c>
      <c r="M188" s="38">
        <f>L188+Podsumowanie!E$6</f>
        <v>0.0046</v>
      </c>
      <c r="N188" s="101">
        <f>MAX(Podsumowanie!E$4+SUM(AA$5:AA187)-SUM(X$5:X188)+SUM(W$5:W188),0)</f>
        <v>131195.68662349164</v>
      </c>
      <c r="O188" s="102">
        <f>MAX(Podsumowanie!E$2+SUM(V$5:V187)-SUM(S$5:S188)+SUM(R$5:R188),0)</f>
        <v>289363.3696771603</v>
      </c>
      <c r="P188" s="39">
        <f t="shared" si="192"/>
        <v>360</v>
      </c>
      <c r="Q188" s="40" t="str">
        <f>IF(AND(K188&gt;0,K188&lt;=Podsumowanie!E$9),"tak","nie")</f>
        <v>nie</v>
      </c>
      <c r="R188" s="41"/>
      <c r="S188" s="42"/>
      <c r="T188" s="88">
        <f aca="true" t="shared" si="229" ref="T188:T193">IF(AB188=1,-O188*M188/12,0)</f>
        <v>-110.92262504291143</v>
      </c>
      <c r="U188" s="89">
        <f>IF(Q188="tak",T188,IF(P188-SUM(AB$5:AB188)+1&gt;0,IF(Podsumowanie!E$7&lt;B188,IF(SUM(AB$5:AB188)-Podsumowanie!E$9+1&gt;0,PMT(M188/12,P188+1-SUM(AB$5:AB188),O188),T188),0),0))</f>
        <v>-1242.468336565531</v>
      </c>
      <c r="V188" s="89">
        <f t="shared" si="222"/>
        <v>-1131.5457115226195</v>
      </c>
      <c r="W188" s="90" t="str">
        <f>IF(R188&gt;0,R188/(C188*(1-Podsumowanie!E$11))," ")</f>
        <v xml:space="preserve"> </v>
      </c>
      <c r="X188" s="90">
        <f t="shared" si="150"/>
        <v>0</v>
      </c>
      <c r="Y188" s="91">
        <f aca="true" t="shared" si="230" ref="Y188:Y193">IF(AB188=1,-N188*M188/12,0)</f>
        <v>-50.291679872338456</v>
      </c>
      <c r="Z188" s="90">
        <f>IF(P188-SUM(AB$5:AB188)+1&gt;0,IF(Podsumowanie!E$7&lt;B188,IF(SUM(AB$5:AB188)-Podsumowanie!E$9+1&gt;0,PMT(M188/12,P188+1-SUM(AB$5:AB188),N188),Y188),0),0)</f>
        <v>-563.3279938145834</v>
      </c>
      <c r="AA188" s="90">
        <f t="shared" si="223"/>
        <v>-513.0363139422449</v>
      </c>
      <c r="AB188" s="8">
        <f>IF(AND(Podsumowanie!E$7&lt;B188,SUM(AB$5:AB187)&lt;P187),1," ")</f>
        <v>1</v>
      </c>
      <c r="AD188" s="51">
        <f>IF(OR(B188&lt;Podsumowanie!E$12,Podsumowanie!E$12=""),-F188+S188,0)</f>
        <v>0</v>
      </c>
      <c r="AE188" s="51">
        <f t="shared" si="151"/>
        <v>563.3279938145834</v>
      </c>
      <c r="AG188" s="10">
        <f>Podsumowanie!E$4-SUM(AI$5:AI187)+SUM(W$42:W188)-SUM(X$42:X188)</f>
        <v>122757.52813555226</v>
      </c>
      <c r="AH188" s="10">
        <f aca="true" t="shared" si="231" ref="AH188:AH193">IF(AB188=1,ROUND(AG188*M188/12,2),0)</f>
        <v>47.06</v>
      </c>
      <c r="AI188" s="10">
        <f aca="true" t="shared" si="232" ref="AI188:AI193">IF(Q188="tak",0,IF(AB188=1,ROUND(AG188/(P188-K188+1),2),0))</f>
        <v>505.18</v>
      </c>
      <c r="AJ188" s="10">
        <f t="shared" si="224"/>
        <v>552.24</v>
      </c>
      <c r="AK188" s="10">
        <f t="shared" si="175"/>
        <v>2248.72</v>
      </c>
      <c r="AL188" s="10">
        <f>Podsumowanie!E$2-SUM(AN$5:AN187)+SUM(R$42:R188)-SUM(S$42:S188)</f>
        <v>270751.8099999998</v>
      </c>
      <c r="AM188" s="10">
        <f aca="true" t="shared" si="233" ref="AM188:AM193">IF(AB188=1,ROUND(AL188*M188/12,2),0)</f>
        <v>103.79</v>
      </c>
      <c r="AN188" s="10">
        <f aca="true" t="shared" si="234" ref="AN188:AN193">IF(Q188="tak",0,IF(AB188=1,ROUND(AL188/(P188-K188+1),2),0))</f>
        <v>1114.2</v>
      </c>
      <c r="AO188" s="10">
        <f t="shared" si="225"/>
        <v>1217.99</v>
      </c>
      <c r="AP188" s="10">
        <f t="shared" si="226"/>
        <v>1030.7299999999998</v>
      </c>
      <c r="AR188" s="43">
        <f t="shared" si="176"/>
        <v>42826</v>
      </c>
      <c r="AS188" s="11">
        <f>AS$5+SUM(AV$5:AV187)-SUM(X$5:X188)+SUM(W$5:W188)</f>
        <v>127259.81602478685</v>
      </c>
      <c r="AT188" s="10">
        <f aca="true" t="shared" si="235" ref="AT188:AT193">IF(AB188=1,-AS188*M188/12,0)</f>
        <v>-48.7829294761683</v>
      </c>
      <c r="AU188" s="10">
        <f>IF(AB188=1,IF(Q188="tak",AT188,PMT(M188/12,P188+1-SUM(AB$5:AB188),AS188)),0)</f>
        <v>-546.4281540001457</v>
      </c>
      <c r="AV188" s="10">
        <f t="shared" si="186"/>
        <v>-497.6452245239774</v>
      </c>
      <c r="AW188" s="10">
        <f t="shared" si="187"/>
        <v>-2160.249064024176</v>
      </c>
      <c r="AY188" s="11">
        <f>AY$5+SUM(BA$5:BA187)+SUM(W$5:W187)-SUM(X$5:X187)</f>
        <v>119074.64719148577</v>
      </c>
      <c r="AZ188" s="11">
        <f aca="true" t="shared" si="236" ref="AZ188:AZ193">IF(AB188=1,-AS188*M188/12,0)</f>
        <v>-48.7829294761683</v>
      </c>
      <c r="BA188" s="11">
        <f aca="true" t="shared" si="237" ref="BA188:BA193">IF(AB188=1,IF(Q188="tak",0,ROUND(-AY188/(P188-K188+1),2)),0)</f>
        <v>-490.02</v>
      </c>
      <c r="BB188" s="11">
        <f aca="true" t="shared" si="238" ref="BB188:BB193">BA188+AZ188</f>
        <v>-538.8029294761683</v>
      </c>
      <c r="BC188" s="11">
        <f t="shared" si="177"/>
        <v>-2130.1035013910837</v>
      </c>
      <c r="BE188" s="172">
        <f t="shared" si="146"/>
        <v>0.0173</v>
      </c>
      <c r="BF188" s="44">
        <f>BE188+Podsumowanie!$E$6</f>
        <v>0.0293</v>
      </c>
      <c r="BG188" s="11">
        <f>BG$5+SUM(BH$5:BH187)+SUM(R$5:R187)-SUM(S$5:S187)</f>
        <v>325441.8269905409</v>
      </c>
      <c r="BH188" s="10">
        <f t="shared" si="227"/>
        <v>-977.267441481505</v>
      </c>
      <c r="BI188" s="10">
        <f t="shared" si="228"/>
        <v>-794.620460901904</v>
      </c>
      <c r="BJ188" s="10">
        <f>IF(U188&lt;0,PMT(BF188/12,Podsumowanie!E$8-SUM(AB$5:AB188)+1,BG188),0)</f>
        <v>-1771.887902383409</v>
      </c>
      <c r="BL188" s="11">
        <f>BL$5+SUM(BN$5:BN187)+SUM(R$5:R187)-SUM(S$5:S187)</f>
        <v>270752.08913649</v>
      </c>
      <c r="BM188" s="11">
        <f t="shared" si="216"/>
        <v>-661.0863509749298</v>
      </c>
      <c r="BN188" s="11">
        <f t="shared" si="217"/>
        <v>-1114.2061281337037</v>
      </c>
      <c r="BO188" s="11">
        <f t="shared" si="191"/>
        <v>-1775.2924791086334</v>
      </c>
      <c r="BQ188" s="44">
        <f t="shared" si="147"/>
        <v>0.0294</v>
      </c>
      <c r="BR188" s="11">
        <f>BR$5+SUM(BS$5:BS187)+SUM(R$5:R187)-SUM(S$5:S187)+SUM(BV$5:BV187)</f>
        <v>344205.05604141054</v>
      </c>
      <c r="BS188" s="10">
        <f t="shared" si="157"/>
        <v>-1032.4645706473702</v>
      </c>
      <c r="BT188" s="10">
        <f t="shared" si="158"/>
        <v>-843.3023873014558</v>
      </c>
      <c r="BU188" s="10">
        <f>IF(U188&lt;0,PMT(BQ188/12,Podsumowanie!E$8-SUM(AB$5:AB188)+1,BR188),0)</f>
        <v>-1875.766957948826</v>
      </c>
      <c r="BV188" s="10">
        <f t="shared" si="152"/>
        <v>-418.10575952014506</v>
      </c>
      <c r="BX188" s="11">
        <f>BX$5+SUM(BZ$5:BZ187)+SUM(R$5:R187)-SUM(S$5:S187)+SUM(CB$5,CB187)</f>
        <v>270110.7279884059</v>
      </c>
      <c r="BY188" s="10">
        <f t="shared" si="148"/>
        <v>-661.7712835715945</v>
      </c>
      <c r="BZ188" s="10">
        <f t="shared" si="149"/>
        <v>-1111.5667818452919</v>
      </c>
      <c r="CA188" s="10">
        <f t="shared" si="159"/>
        <v>-1773.3380654168864</v>
      </c>
      <c r="CB188" s="10">
        <f t="shared" si="160"/>
        <v>-520.5346520520848</v>
      </c>
      <c r="CD188" s="10">
        <f>CD$5+SUM(CE$5:CE187)+SUM(R$5:R187)-SUM(S$5:S187)-SUM(CF$5:CF187)</f>
        <v>319974.51116558793</v>
      </c>
      <c r="CE188" s="10">
        <f t="shared" si="153"/>
        <v>661.7712835715945</v>
      </c>
      <c r="CF188" s="10">
        <f t="shared" si="154"/>
        <v>2293.872717468971</v>
      </c>
      <c r="CG188" s="10">
        <f t="shared" si="155"/>
        <v>1632.1014338973766</v>
      </c>
      <c r="CI188" s="44">
        <v>0.4598</v>
      </c>
      <c r="CJ188" s="10">
        <f t="shared" si="156"/>
        <v>-1054.72</v>
      </c>
      <c r="CK188" s="4">
        <f t="shared" si="161"/>
        <v>0</v>
      </c>
      <c r="CM188" s="10">
        <f t="shared" si="162"/>
        <v>-246872.75655154194</v>
      </c>
      <c r="CN188" s="4">
        <f t="shared" si="163"/>
        <v>-355.90822402847294</v>
      </c>
    </row>
    <row r="189" spans="1:92" ht="15.75">
      <c r="A189" s="36"/>
      <c r="B189" s="37">
        <v>42856</v>
      </c>
      <c r="C189" s="77">
        <f t="shared" si="144"/>
        <v>3.858</v>
      </c>
      <c r="D189" s="79">
        <f>C189*(1+Podsumowanie!E$11)</f>
        <v>3.9737400000000003</v>
      </c>
      <c r="E189" s="34">
        <f t="shared" si="218"/>
        <v>-563.3279938145834</v>
      </c>
      <c r="F189" s="7">
        <f t="shared" si="219"/>
        <v>-2238.5189821407625</v>
      </c>
      <c r="G189" s="7">
        <f t="shared" si="220"/>
        <v>-1242.4683365655314</v>
      </c>
      <c r="H189" s="7">
        <f t="shared" si="221"/>
        <v>996.0506455752311</v>
      </c>
      <c r="I189" s="32"/>
      <c r="K189" s="4">
        <f>IF(B189&lt;Podsumowanie!E$7,0,K188+1)</f>
        <v>119</v>
      </c>
      <c r="L189" s="100">
        <f t="shared" si="145"/>
        <v>-0.0074</v>
      </c>
      <c r="M189" s="38">
        <f>L189+Podsumowanie!E$6</f>
        <v>0.0046</v>
      </c>
      <c r="N189" s="101">
        <f>MAX(Podsumowanie!E$4+SUM(AA$5:AA188)-SUM(X$5:X189)+SUM(W$5:W189),0)</f>
        <v>130682.65030954938</v>
      </c>
      <c r="O189" s="102">
        <f>MAX(Podsumowanie!E$2+SUM(V$5:V188)-SUM(S$5:S189)+SUM(R$5:R189),0)</f>
        <v>288231.8239656377</v>
      </c>
      <c r="P189" s="39">
        <f t="shared" si="192"/>
        <v>360</v>
      </c>
      <c r="Q189" s="40" t="str">
        <f>IF(AND(K189&gt;0,K189&lt;=Podsumowanie!E$9),"tak","nie")</f>
        <v>nie</v>
      </c>
      <c r="R189" s="41"/>
      <c r="S189" s="42"/>
      <c r="T189" s="88">
        <f t="shared" si="229"/>
        <v>-110.48886585349446</v>
      </c>
      <c r="U189" s="89">
        <f>IF(Q189="tak",T189,IF(P189-SUM(AB$5:AB189)+1&gt;0,IF(Podsumowanie!E$7&lt;B189,IF(SUM(AB$5:AB189)-Podsumowanie!E$9+1&gt;0,PMT(M189/12,P189+1-SUM(AB$5:AB189),O189),T189),0),0))</f>
        <v>-1242.4683365655314</v>
      </c>
      <c r="V189" s="89">
        <f t="shared" si="222"/>
        <v>-1131.979470712037</v>
      </c>
      <c r="W189" s="90" t="str">
        <f>IF(R189&gt;0,R189/(C189*(1-Podsumowanie!E$11))," ")</f>
        <v xml:space="preserve"> </v>
      </c>
      <c r="X189" s="90">
        <f t="shared" si="150"/>
        <v>0</v>
      </c>
      <c r="Y189" s="91">
        <f t="shared" si="230"/>
        <v>-50.09501595199393</v>
      </c>
      <c r="Z189" s="90">
        <f>IF(P189-SUM(AB$5:AB189)+1&gt;0,IF(Podsumowanie!E$7&lt;B189,IF(SUM(AB$5:AB189)-Podsumowanie!E$9+1&gt;0,PMT(M189/12,P189+1-SUM(AB$5:AB189),N189),Y189),0),0)</f>
        <v>-563.3279938145834</v>
      </c>
      <c r="AA189" s="90">
        <f t="shared" si="223"/>
        <v>-513.2329778625895</v>
      </c>
      <c r="AB189" s="8">
        <f>IF(AND(Podsumowanie!E$7&lt;B189,SUM(AB$5:AB188)&lt;P188),1," ")</f>
        <v>1</v>
      </c>
      <c r="AD189" s="51">
        <f>IF(OR(B189&lt;Podsumowanie!E$12,Podsumowanie!E$12=""),-F189+S189,0)</f>
        <v>0</v>
      </c>
      <c r="AE189" s="51">
        <f t="shared" si="151"/>
        <v>563.3279938145834</v>
      </c>
      <c r="AG189" s="10">
        <f>Podsumowanie!E$4-SUM(AI$5:AI188)+SUM(W$42:W189)-SUM(X$42:X189)</f>
        <v>122252.34813555225</v>
      </c>
      <c r="AH189" s="10">
        <f t="shared" si="231"/>
        <v>46.86</v>
      </c>
      <c r="AI189" s="10">
        <f t="shared" si="232"/>
        <v>505.17</v>
      </c>
      <c r="AJ189" s="10">
        <f t="shared" si="224"/>
        <v>552.03</v>
      </c>
      <c r="AK189" s="10">
        <f t="shared" si="175"/>
        <v>2193.62</v>
      </c>
      <c r="AL189" s="10">
        <f>Podsumowanie!E$2-SUM(AN$5:AN188)+SUM(R$42:R189)-SUM(S$42:S189)</f>
        <v>269637.60999999987</v>
      </c>
      <c r="AM189" s="10">
        <f t="shared" si="233"/>
        <v>103.36</v>
      </c>
      <c r="AN189" s="10">
        <f t="shared" si="234"/>
        <v>1114.21</v>
      </c>
      <c r="AO189" s="10">
        <f t="shared" si="225"/>
        <v>1217.57</v>
      </c>
      <c r="AP189" s="10">
        <f t="shared" si="226"/>
        <v>976.05</v>
      </c>
      <c r="AR189" s="43">
        <f t="shared" si="176"/>
        <v>42856</v>
      </c>
      <c r="AS189" s="11">
        <f>AS$5+SUM(AV$5:AV188)-SUM(X$5:X189)+SUM(W$5:W189)</f>
        <v>126762.17080026289</v>
      </c>
      <c r="AT189" s="10">
        <f t="shared" si="235"/>
        <v>-48.59216547343411</v>
      </c>
      <c r="AU189" s="10">
        <f>IF(AB189=1,IF(Q189="tak",AT189,PMT(M189/12,P189+1-SUM(AB$5:AB189),AS189)),0)</f>
        <v>-546.4281540001458</v>
      </c>
      <c r="AV189" s="10">
        <f t="shared" si="186"/>
        <v>-497.83598852671173</v>
      </c>
      <c r="AW189" s="10">
        <f t="shared" si="187"/>
        <v>-2108.1198181325626</v>
      </c>
      <c r="AY189" s="11">
        <f>AY$5+SUM(BA$5:BA188)+SUM(W$5:W188)-SUM(X$5:X188)</f>
        <v>118584.62719148576</v>
      </c>
      <c r="AZ189" s="11">
        <f t="shared" si="236"/>
        <v>-48.59216547343411</v>
      </c>
      <c r="BA189" s="11">
        <f t="shared" si="237"/>
        <v>-490.02</v>
      </c>
      <c r="BB189" s="11">
        <f t="shared" si="238"/>
        <v>-538.6121654734341</v>
      </c>
      <c r="BC189" s="11">
        <f t="shared" si="177"/>
        <v>-2077.9657343965087</v>
      </c>
      <c r="BE189" s="172">
        <f t="shared" si="146"/>
        <v>0.0173</v>
      </c>
      <c r="BF189" s="44">
        <f>BE189+Podsumowanie!$E$6</f>
        <v>0.0293</v>
      </c>
      <c r="BG189" s="11">
        <f>BG$5+SUM(BH$5:BH188)+SUM(R$5:R188)-SUM(S$5:S188)</f>
        <v>324464.55954905937</v>
      </c>
      <c r="BH189" s="10">
        <f t="shared" si="227"/>
        <v>-979.6536028177889</v>
      </c>
      <c r="BI189" s="10">
        <f t="shared" si="228"/>
        <v>-792.23429956562</v>
      </c>
      <c r="BJ189" s="10">
        <f>IF(U189&lt;0,PMT(BF189/12,Podsumowanie!E$8-SUM(AB$5:AB189)+1,BG189),0)</f>
        <v>-1771.8879023834088</v>
      </c>
      <c r="BL189" s="11">
        <f>BL$5+SUM(BN$5:BN188)+SUM(R$5:R188)-SUM(S$5:S188)</f>
        <v>269637.8830083563</v>
      </c>
      <c r="BM189" s="11">
        <f t="shared" si="216"/>
        <v>-658.36583101207</v>
      </c>
      <c r="BN189" s="11">
        <f t="shared" si="217"/>
        <v>-1114.2061281337037</v>
      </c>
      <c r="BO189" s="11">
        <f t="shared" si="191"/>
        <v>-1772.5719591457737</v>
      </c>
      <c r="BQ189" s="44">
        <f t="shared" si="147"/>
        <v>0.0294</v>
      </c>
      <c r="BR189" s="11">
        <f>BR$5+SUM(BS$5:BS188)+SUM(R$5:R188)-SUM(S$5:S188)+SUM(BV$5:BV188)</f>
        <v>342754.48571124306</v>
      </c>
      <c r="BS189" s="10">
        <f t="shared" si="157"/>
        <v>-1033.733119451976</v>
      </c>
      <c r="BT189" s="10">
        <f t="shared" si="158"/>
        <v>-839.7484899925454</v>
      </c>
      <c r="BU189" s="10">
        <f>IF(U189&lt;0,PMT(BQ189/12,Podsumowanie!E$8-SUM(AB$5:AB189)+1,BR189),0)</f>
        <v>-1873.4816094445216</v>
      </c>
      <c r="BV189" s="10">
        <f t="shared" si="152"/>
        <v>-365.03737269624094</v>
      </c>
      <c r="BX189" s="11">
        <f>BX$5+SUM(BZ$5:BZ188)+SUM(R$5:R188)-SUM(S$5:S188)+SUM(CB$5,CB188)</f>
        <v>269028.69358433865</v>
      </c>
      <c r="BY189" s="10">
        <f t="shared" si="148"/>
        <v>-659.1202992816296</v>
      </c>
      <c r="BZ189" s="10">
        <f t="shared" si="149"/>
        <v>-1111.6888164642094</v>
      </c>
      <c r="CA189" s="10">
        <f t="shared" si="159"/>
        <v>-1770.8091157458389</v>
      </c>
      <c r="CB189" s="10">
        <f t="shared" si="160"/>
        <v>-467.70986639492367</v>
      </c>
      <c r="CD189" s="10">
        <f>CD$5+SUM(CE$5:CE188)+SUM(R$5:R188)-SUM(S$5:S188)-SUM(CF$5:CF188)</f>
        <v>318342.40973169054</v>
      </c>
      <c r="CE189" s="10">
        <f t="shared" si="153"/>
        <v>659.1202992816296</v>
      </c>
      <c r="CF189" s="10">
        <f t="shared" si="154"/>
        <v>2238.5189821407625</v>
      </c>
      <c r="CG189" s="10">
        <f t="shared" si="155"/>
        <v>1579.3986828591328</v>
      </c>
      <c r="CI189" s="44">
        <v>0.4555</v>
      </c>
      <c r="CJ189" s="10">
        <f t="shared" si="156"/>
        <v>-1019.65</v>
      </c>
      <c r="CK189" s="4">
        <f t="shared" si="161"/>
        <v>0</v>
      </c>
      <c r="CM189" s="10">
        <f t="shared" si="162"/>
        <v>-249111.2755336827</v>
      </c>
      <c r="CN189" s="4">
        <f t="shared" si="163"/>
        <v>-359.1354222277259</v>
      </c>
    </row>
    <row r="190" spans="1:92" ht="15.75">
      <c r="A190" s="36"/>
      <c r="B190" s="37">
        <v>42887</v>
      </c>
      <c r="C190" s="77">
        <f t="shared" si="144"/>
        <v>3.8708</v>
      </c>
      <c r="D190" s="79">
        <f>C190*(1+Podsumowanie!E$11)</f>
        <v>3.986924</v>
      </c>
      <c r="E190" s="34">
        <f t="shared" si="218"/>
        <v>-563.3279938145834</v>
      </c>
      <c r="F190" s="7">
        <f t="shared" si="219"/>
        <v>-2245.945898411214</v>
      </c>
      <c r="G190" s="7">
        <f t="shared" si="220"/>
        <v>-1242.4683365655314</v>
      </c>
      <c r="H190" s="7">
        <f t="shared" si="221"/>
        <v>1003.4775618456824</v>
      </c>
      <c r="I190" s="32"/>
      <c r="K190" s="4">
        <f>IF(B190&lt;Podsumowanie!E$7,0,K189+1)</f>
        <v>120</v>
      </c>
      <c r="L190" s="100">
        <f t="shared" si="145"/>
        <v>-0.0074</v>
      </c>
      <c r="M190" s="38">
        <f>L190+Podsumowanie!E$6</f>
        <v>0.0046</v>
      </c>
      <c r="N190" s="101">
        <f>MAX(Podsumowanie!E$4+SUM(AA$5:AA189)-SUM(X$5:X190)+SUM(W$5:W190),0)</f>
        <v>130169.4173316868</v>
      </c>
      <c r="O190" s="102">
        <f>MAX(Podsumowanie!E$2+SUM(V$5:V189)-SUM(S$5:S190)+SUM(R$5:R190),0)</f>
        <v>287099.8444949257</v>
      </c>
      <c r="P190" s="39">
        <f t="shared" si="192"/>
        <v>360</v>
      </c>
      <c r="Q190" s="40" t="str">
        <f>IF(AND(K190&gt;0,K190&lt;=Podsumowanie!E$9),"tak","nie")</f>
        <v>nie</v>
      </c>
      <c r="R190" s="41"/>
      <c r="S190" s="42"/>
      <c r="T190" s="88">
        <f t="shared" si="229"/>
        <v>-110.05494038972152</v>
      </c>
      <c r="U190" s="89">
        <f>IF(Q190="tak",T190,IF(P190-SUM(AB$5:AB190)+1&gt;0,IF(Podsumowanie!E$7&lt;B190,IF(SUM(AB$5:AB190)-Podsumowanie!E$9+1&gt;0,PMT(M190/12,P190+1-SUM(AB$5:AB190),O190),T190),0),0))</f>
        <v>-1242.4683365655314</v>
      </c>
      <c r="V190" s="89">
        <f t="shared" si="222"/>
        <v>-1132.41339617581</v>
      </c>
      <c r="W190" s="90" t="str">
        <f>IF(R190&gt;0,R190/(C190*(1-Podsumowanie!E$11))," ")</f>
        <v xml:space="preserve"> </v>
      </c>
      <c r="X190" s="90">
        <f t="shared" si="150"/>
        <v>0</v>
      </c>
      <c r="Y190" s="91">
        <f t="shared" si="230"/>
        <v>-49.89827664381327</v>
      </c>
      <c r="Z190" s="90">
        <f>IF(P190-SUM(AB$5:AB190)+1&gt;0,IF(Podsumowanie!E$7&lt;B190,IF(SUM(AB$5:AB190)-Podsumowanie!E$9+1&gt;0,PMT(M190/12,P190+1-SUM(AB$5:AB190),N190),Y190),0),0)</f>
        <v>-563.3279938145834</v>
      </c>
      <c r="AA190" s="90">
        <f t="shared" si="223"/>
        <v>-513.4297171707701</v>
      </c>
      <c r="AB190" s="8">
        <f>IF(AND(Podsumowanie!E$7&lt;B190,SUM(AB$5:AB189)&lt;P189),1," ")</f>
        <v>1</v>
      </c>
      <c r="AD190" s="51">
        <f>IF(OR(B190&lt;Podsumowanie!E$12,Podsumowanie!E$12=""),-F190+S190,0)</f>
        <v>0</v>
      </c>
      <c r="AE190" s="51">
        <f t="shared" si="151"/>
        <v>563.3279938145834</v>
      </c>
      <c r="AG190" s="10">
        <f>Podsumowanie!E$4-SUM(AI$5:AI189)+SUM(W$42:W190)-SUM(X$42:X190)</f>
        <v>121747.17813555227</v>
      </c>
      <c r="AH190" s="10">
        <f t="shared" si="231"/>
        <v>46.67</v>
      </c>
      <c r="AI190" s="10">
        <f t="shared" si="232"/>
        <v>505.18</v>
      </c>
      <c r="AJ190" s="10">
        <f t="shared" si="224"/>
        <v>551.85</v>
      </c>
      <c r="AK190" s="10">
        <f t="shared" si="175"/>
        <v>2200.18</v>
      </c>
      <c r="AL190" s="10">
        <f>Podsumowanie!E$2-SUM(AN$5:AN189)+SUM(R$42:R190)-SUM(S$42:S190)</f>
        <v>268523.39999999985</v>
      </c>
      <c r="AM190" s="10">
        <f t="shared" si="233"/>
        <v>102.93</v>
      </c>
      <c r="AN190" s="10">
        <f t="shared" si="234"/>
        <v>1114.2</v>
      </c>
      <c r="AO190" s="10">
        <f t="shared" si="225"/>
        <v>1217.13</v>
      </c>
      <c r="AP190" s="10">
        <f t="shared" si="226"/>
        <v>983.0499999999997</v>
      </c>
      <c r="AR190" s="43">
        <f t="shared" si="176"/>
        <v>42887</v>
      </c>
      <c r="AS190" s="11">
        <f>AS$5+SUM(AV$5:AV189)-SUM(X$5:X190)+SUM(W$5:W190)</f>
        <v>126264.33481173616</v>
      </c>
      <c r="AT190" s="10">
        <f t="shared" si="235"/>
        <v>-48.401328344498864</v>
      </c>
      <c r="AU190" s="10">
        <f>IF(AB190=1,IF(Q190="tak",AT190,PMT(M190/12,P190+1-SUM(AB$5:AB190),AS190)),0)</f>
        <v>-546.4281540001457</v>
      </c>
      <c r="AV190" s="10">
        <f t="shared" si="186"/>
        <v>-498.0268256556468</v>
      </c>
      <c r="AW190" s="10">
        <f t="shared" si="187"/>
        <v>-2115.114098503764</v>
      </c>
      <c r="AY190" s="11">
        <f>AY$5+SUM(BA$5:BA189)+SUM(W$5:W189)-SUM(X$5:X189)</f>
        <v>118094.60719148576</v>
      </c>
      <c r="AZ190" s="11">
        <f t="shared" si="236"/>
        <v>-48.401328344498864</v>
      </c>
      <c r="BA190" s="11">
        <f t="shared" si="237"/>
        <v>-490.02</v>
      </c>
      <c r="BB190" s="11">
        <f t="shared" si="238"/>
        <v>-538.4213283444989</v>
      </c>
      <c r="BC190" s="11">
        <f t="shared" si="177"/>
        <v>-2084.1212777558862</v>
      </c>
      <c r="BE190" s="172">
        <f t="shared" si="146"/>
        <v>0.0173</v>
      </c>
      <c r="BF190" s="44">
        <f>BE190+Podsumowanie!$E$6</f>
        <v>0.0293</v>
      </c>
      <c r="BG190" s="11">
        <f>BG$5+SUM(BH$5:BH189)+SUM(R$5:R189)-SUM(S$5:S189)</f>
        <v>323484.9059462416</v>
      </c>
      <c r="BH190" s="10">
        <f t="shared" si="227"/>
        <v>-982.0455903646691</v>
      </c>
      <c r="BI190" s="10">
        <f t="shared" si="228"/>
        <v>-789.8423120187399</v>
      </c>
      <c r="BJ190" s="10">
        <f>IF(U190&lt;0,PMT(BF190/12,Podsumowanie!E$8-SUM(AB$5:AB190)+1,BG190),0)</f>
        <v>-1771.887902383409</v>
      </c>
      <c r="BL190" s="11">
        <f>BL$5+SUM(BN$5:BN189)+SUM(R$5:R189)-SUM(S$5:S189)</f>
        <v>268523.6768802226</v>
      </c>
      <c r="BM190" s="11">
        <f t="shared" si="216"/>
        <v>-655.6453110492102</v>
      </c>
      <c r="BN190" s="11">
        <f t="shared" si="217"/>
        <v>-1114.206128133704</v>
      </c>
      <c r="BO190" s="11">
        <f t="shared" si="191"/>
        <v>-1769.8514391829142</v>
      </c>
      <c r="BQ190" s="44">
        <f t="shared" si="147"/>
        <v>0.0294</v>
      </c>
      <c r="BR190" s="11">
        <f>BR$5+SUM(BS$5:BS189)+SUM(R$5:R189)-SUM(S$5:S189)+SUM(BV$5:BV189)</f>
        <v>341355.71521909477</v>
      </c>
      <c r="BS190" s="10">
        <f t="shared" si="157"/>
        <v>-1035.1587923434663</v>
      </c>
      <c r="BT190" s="10">
        <f t="shared" si="158"/>
        <v>-836.3215022867821</v>
      </c>
      <c r="BU190" s="10">
        <f>IF(U190&lt;0,PMT(BQ190/12,Podsumowanie!E$8-SUM(AB$5:AB190)+1,BR190),0)</f>
        <v>-1871.4802946302484</v>
      </c>
      <c r="BV190" s="10">
        <f t="shared" si="152"/>
        <v>-374.46560378096547</v>
      </c>
      <c r="BX190" s="11">
        <f>BX$5+SUM(BZ$5:BZ189)+SUM(R$5:R189)-SUM(S$5:S189)+SUM(CB$5,CB189)</f>
        <v>267969.82955353166</v>
      </c>
      <c r="BY190" s="10">
        <f t="shared" si="148"/>
        <v>-656.5260824061526</v>
      </c>
      <c r="BZ190" s="10">
        <f t="shared" si="149"/>
        <v>-1111.9080064461893</v>
      </c>
      <c r="CA190" s="10">
        <f t="shared" si="159"/>
        <v>-1768.434088852342</v>
      </c>
      <c r="CB190" s="10">
        <f t="shared" si="160"/>
        <v>-477.51180955887185</v>
      </c>
      <c r="CD190" s="10">
        <f>CD$5+SUM(CE$5:CE189)+SUM(R$5:R189)-SUM(S$5:S189)-SUM(CF$5:CF189)</f>
        <v>316763.0110488315</v>
      </c>
      <c r="CE190" s="10">
        <f t="shared" si="153"/>
        <v>656.5260824061526</v>
      </c>
      <c r="CF190" s="10">
        <f t="shared" si="154"/>
        <v>2245.945898411214</v>
      </c>
      <c r="CG190" s="10">
        <f t="shared" si="155"/>
        <v>1589.4198160050614</v>
      </c>
      <c r="CI190" s="44">
        <v>0.4555</v>
      </c>
      <c r="CJ190" s="10">
        <f t="shared" si="156"/>
        <v>-1023.03</v>
      </c>
      <c r="CK190" s="4">
        <f t="shared" si="161"/>
        <v>0</v>
      </c>
      <c r="CM190" s="10">
        <f t="shared" si="162"/>
        <v>-251357.2214320939</v>
      </c>
      <c r="CN190" s="4">
        <f t="shared" si="163"/>
        <v>-362.37332756460205</v>
      </c>
    </row>
    <row r="191" spans="1:92" ht="15.75">
      <c r="A191" s="36"/>
      <c r="B191" s="37">
        <v>42917</v>
      </c>
      <c r="C191" s="77">
        <f t="shared" si="144"/>
        <v>3.8291</v>
      </c>
      <c r="D191" s="79">
        <f>C191*(1+Podsumowanie!E$11)</f>
        <v>3.943973</v>
      </c>
      <c r="E191" s="34">
        <f t="shared" si="218"/>
        <v>-563.3279938145834</v>
      </c>
      <c r="F191" s="7">
        <f t="shared" si="219"/>
        <v>-2221.7503977488836</v>
      </c>
      <c r="G191" s="7">
        <f t="shared" si="220"/>
        <v>-1242.4683365655312</v>
      </c>
      <c r="H191" s="7">
        <f t="shared" si="221"/>
        <v>979.2820611833524</v>
      </c>
      <c r="I191" s="32"/>
      <c r="K191" s="4">
        <f>IF(B191&lt;Podsumowanie!E$7,0,K190+1)</f>
        <v>121</v>
      </c>
      <c r="L191" s="100">
        <f t="shared" si="145"/>
        <v>-0.0074</v>
      </c>
      <c r="M191" s="38">
        <f>L191+Podsumowanie!E$6</f>
        <v>0.0046</v>
      </c>
      <c r="N191" s="101">
        <f>MAX(Podsumowanie!E$4+SUM(AA$5:AA190)-SUM(X$5:X191)+SUM(W$5:W191),0)</f>
        <v>129655.98761451602</v>
      </c>
      <c r="O191" s="102">
        <f>MAX(Podsumowanie!E$2+SUM(V$5:V190)-SUM(S$5:S191)+SUM(R$5:R191),0)</f>
        <v>285967.43109874986</v>
      </c>
      <c r="P191" s="39">
        <f t="shared" si="192"/>
        <v>360</v>
      </c>
      <c r="Q191" s="40" t="str">
        <f>IF(AND(K191&gt;0,K191&lt;=Podsumowanie!E$9),"tak","nie")</f>
        <v>nie</v>
      </c>
      <c r="R191" s="41"/>
      <c r="S191" s="42"/>
      <c r="T191" s="88">
        <f t="shared" si="229"/>
        <v>-109.6208485878541</v>
      </c>
      <c r="U191" s="89">
        <f>IF(Q191="tak",T191,IF(P191-SUM(AB$5:AB191)+1&gt;0,IF(Podsumowanie!E$7&lt;B191,IF(SUM(AB$5:AB191)-Podsumowanie!E$9+1&gt;0,PMT(M191/12,P191+1-SUM(AB$5:AB191),O191),T191),0),0))</f>
        <v>-1242.4683365655312</v>
      </c>
      <c r="V191" s="89">
        <f t="shared" si="222"/>
        <v>-1132.847487977677</v>
      </c>
      <c r="W191" s="90" t="str">
        <f>IF(R191&gt;0,R191/(C191*(1-Podsumowanie!E$11))," ")</f>
        <v xml:space="preserve"> </v>
      </c>
      <c r="X191" s="90">
        <f t="shared" si="150"/>
        <v>0</v>
      </c>
      <c r="Y191" s="91">
        <f t="shared" si="230"/>
        <v>-49.70146191889781</v>
      </c>
      <c r="Z191" s="90">
        <f>IF(P191-SUM(AB$5:AB191)+1&gt;0,IF(Podsumowanie!E$7&lt;B191,IF(SUM(AB$5:AB191)-Podsumowanie!E$9+1&gt;0,PMT(M191/12,P191+1-SUM(AB$5:AB191),N191),Y191),0),0)</f>
        <v>-563.3279938145834</v>
      </c>
      <c r="AA191" s="90">
        <f t="shared" si="223"/>
        <v>-513.6265318956855</v>
      </c>
      <c r="AB191" s="8">
        <f>IF(AND(Podsumowanie!E$7&lt;B191,SUM(AB$5:AB190)&lt;P190),1," ")</f>
        <v>1</v>
      </c>
      <c r="AD191" s="51">
        <f>IF(OR(B191&lt;Podsumowanie!E$12,Podsumowanie!E$12=""),-F191+S191,0)</f>
        <v>0</v>
      </c>
      <c r="AE191" s="51">
        <f t="shared" si="151"/>
        <v>563.3279938145834</v>
      </c>
      <c r="AG191" s="10">
        <f>Podsumowanie!E$4-SUM(AI$5:AI190)+SUM(W$42:W191)-SUM(X$42:X191)</f>
        <v>121241.99813555226</v>
      </c>
      <c r="AH191" s="10">
        <f t="shared" si="231"/>
        <v>46.48</v>
      </c>
      <c r="AI191" s="10">
        <f t="shared" si="232"/>
        <v>505.17</v>
      </c>
      <c r="AJ191" s="10">
        <f t="shared" si="224"/>
        <v>551.65</v>
      </c>
      <c r="AK191" s="10">
        <f t="shared" si="175"/>
        <v>2175.69</v>
      </c>
      <c r="AL191" s="10">
        <f>Podsumowanie!E$2-SUM(AN$5:AN190)+SUM(R$42:R191)-SUM(S$42:S191)</f>
        <v>267409.19999999984</v>
      </c>
      <c r="AM191" s="10">
        <f t="shared" si="233"/>
        <v>102.51</v>
      </c>
      <c r="AN191" s="10">
        <f t="shared" si="234"/>
        <v>1114.21</v>
      </c>
      <c r="AO191" s="10">
        <f t="shared" si="225"/>
        <v>1216.72</v>
      </c>
      <c r="AP191" s="10">
        <f t="shared" si="226"/>
        <v>958.97</v>
      </c>
      <c r="AR191" s="43">
        <f t="shared" si="176"/>
        <v>42917</v>
      </c>
      <c r="AS191" s="11">
        <f>AS$5+SUM(AV$5:AV190)-SUM(X$5:X191)+SUM(W$5:W191)</f>
        <v>125766.30798608053</v>
      </c>
      <c r="AT191" s="10">
        <f t="shared" si="235"/>
        <v>-48.21041806133087</v>
      </c>
      <c r="AU191" s="10">
        <f>IF(AB191=1,IF(Q191="tak",AT191,PMT(M191/12,P191+1-SUM(AB$5:AB191),AS191)),0)</f>
        <v>-546.4281540001458</v>
      </c>
      <c r="AV191" s="10">
        <f t="shared" si="186"/>
        <v>-498.21773593881494</v>
      </c>
      <c r="AW191" s="10">
        <f t="shared" si="187"/>
        <v>-2092.3280444819584</v>
      </c>
      <c r="AY191" s="11">
        <f>AY$5+SUM(BA$5:BA190)+SUM(W$5:W190)-SUM(X$5:X190)</f>
        <v>117604.58719148577</v>
      </c>
      <c r="AZ191" s="11">
        <f t="shared" si="236"/>
        <v>-48.21041806133087</v>
      </c>
      <c r="BA191" s="11">
        <f t="shared" si="237"/>
        <v>-490.02</v>
      </c>
      <c r="BB191" s="11">
        <f t="shared" si="238"/>
        <v>-538.2304180613309</v>
      </c>
      <c r="BC191" s="11">
        <f t="shared" si="177"/>
        <v>-2060.938093798642</v>
      </c>
      <c r="BE191" s="172">
        <f t="shared" si="146"/>
        <v>0.0173</v>
      </c>
      <c r="BF191" s="44">
        <f>BE191+Podsumowanie!$E$6</f>
        <v>0.0293</v>
      </c>
      <c r="BG191" s="11">
        <f>BG$5+SUM(BH$5:BH190)+SUM(R$5:R190)-SUM(S$5:S190)</f>
        <v>322502.8603558769</v>
      </c>
      <c r="BH191" s="10">
        <f t="shared" si="227"/>
        <v>-984.4434183478094</v>
      </c>
      <c r="BI191" s="10">
        <f t="shared" si="228"/>
        <v>-787.4444840355994</v>
      </c>
      <c r="BJ191" s="10">
        <f>IF(U191&lt;0,PMT(BF191/12,Podsumowanie!E$8-SUM(AB$5:AB191)+1,BG191),0)</f>
        <v>-1771.8879023834088</v>
      </c>
      <c r="BL191" s="11">
        <f>BL$5+SUM(BN$5:BN190)+SUM(R$5:R190)-SUM(S$5:S190)</f>
        <v>267409.47075208894</v>
      </c>
      <c r="BM191" s="11">
        <f t="shared" si="216"/>
        <v>-652.9247910863504</v>
      </c>
      <c r="BN191" s="11">
        <f t="shared" si="217"/>
        <v>-1114.206128133704</v>
      </c>
      <c r="BO191" s="11">
        <f t="shared" si="191"/>
        <v>-1767.1309192200542</v>
      </c>
      <c r="BQ191" s="44">
        <f t="shared" si="147"/>
        <v>0.0294</v>
      </c>
      <c r="BR191" s="11">
        <f>BR$5+SUM(BS$5:BS190)+SUM(R$5:R190)-SUM(S$5:S190)+SUM(BV$5:BV190)</f>
        <v>339946.0908229704</v>
      </c>
      <c r="BS191" s="10">
        <f t="shared" si="157"/>
        <v>-1036.5531224293477</v>
      </c>
      <c r="BT191" s="10">
        <f t="shared" si="158"/>
        <v>-832.8679225162774</v>
      </c>
      <c r="BU191" s="10">
        <f>IF(U191&lt;0,PMT(BQ191/12,Podsumowanie!E$8-SUM(AB$5:AB191)+1,BR191),0)</f>
        <v>-1869.4210449456252</v>
      </c>
      <c r="BV191" s="10">
        <f t="shared" si="152"/>
        <v>-352.3293528032584</v>
      </c>
      <c r="BX191" s="11">
        <f>BX$5+SUM(BZ$5:BZ190)+SUM(R$5:R190)-SUM(S$5:S190)+SUM(CB$5,CB190)</f>
        <v>266848.1196039215</v>
      </c>
      <c r="BY191" s="10">
        <f t="shared" si="148"/>
        <v>-653.7778930296076</v>
      </c>
      <c r="BZ191" s="10">
        <f t="shared" si="149"/>
        <v>-1111.8671650163394</v>
      </c>
      <c r="CA191" s="10">
        <f t="shared" si="159"/>
        <v>-1765.645058045947</v>
      </c>
      <c r="CB191" s="10">
        <f t="shared" si="160"/>
        <v>-456.1053397029366</v>
      </c>
      <c r="CD191" s="10">
        <f>CD$5+SUM(CE$5:CE190)+SUM(R$5:R190)-SUM(S$5:S190)-SUM(CF$5:CF190)</f>
        <v>315173.59123282635</v>
      </c>
      <c r="CE191" s="10">
        <f t="shared" si="153"/>
        <v>653.7778930296076</v>
      </c>
      <c r="CF191" s="10">
        <f t="shared" si="154"/>
        <v>2221.7503977488836</v>
      </c>
      <c r="CG191" s="10">
        <f t="shared" si="155"/>
        <v>1567.972504719276</v>
      </c>
      <c r="CI191" s="44">
        <v>0.4584</v>
      </c>
      <c r="CJ191" s="10">
        <f t="shared" si="156"/>
        <v>-1018.45</v>
      </c>
      <c r="CK191" s="4">
        <f t="shared" si="161"/>
        <v>0</v>
      </c>
      <c r="CM191" s="10">
        <f t="shared" si="162"/>
        <v>-253578.9718298428</v>
      </c>
      <c r="CN191" s="4">
        <f t="shared" si="163"/>
        <v>-365.57635105469006</v>
      </c>
    </row>
    <row r="192" spans="1:92" ht="15.75">
      <c r="A192" s="36"/>
      <c r="B192" s="37">
        <v>42948</v>
      </c>
      <c r="C192" s="77">
        <f t="shared" si="144"/>
        <v>3.7471</v>
      </c>
      <c r="D192" s="79">
        <f>C192*(1+Podsumowanie!E$11)</f>
        <v>3.859513</v>
      </c>
      <c r="E192" s="34">
        <f t="shared" si="218"/>
        <v>-563.3279938145834</v>
      </c>
      <c r="F192" s="7">
        <f t="shared" si="219"/>
        <v>-2174.171715391304</v>
      </c>
      <c r="G192" s="7">
        <f t="shared" si="220"/>
        <v>-1242.4683365655312</v>
      </c>
      <c r="H192" s="7">
        <f t="shared" si="221"/>
        <v>931.7033788257729</v>
      </c>
      <c r="I192" s="32"/>
      <c r="K192" s="4">
        <f>IF(B192&lt;Podsumowanie!E$7,0,K191+1)</f>
        <v>122</v>
      </c>
      <c r="L192" s="100">
        <f t="shared" si="145"/>
        <v>-0.0074</v>
      </c>
      <c r="M192" s="38">
        <f>L192+Podsumowanie!E$6</f>
        <v>0.0046</v>
      </c>
      <c r="N192" s="101">
        <f>MAX(Podsumowanie!E$4+SUM(AA$5:AA191)-SUM(X$5:X192)+SUM(W$5:W192),0)</f>
        <v>129142.36108262034</v>
      </c>
      <c r="O192" s="102">
        <f>MAX(Podsumowanie!E$2+SUM(V$5:V191)-SUM(S$5:S192)+SUM(R$5:R192),0)</f>
        <v>284834.58361077216</v>
      </c>
      <c r="P192" s="39">
        <f t="shared" si="192"/>
        <v>360</v>
      </c>
      <c r="Q192" s="40" t="str">
        <f>IF(AND(K192&gt;0,K192&lt;=Podsumowanie!E$9),"tak","nie")</f>
        <v>nie</v>
      </c>
      <c r="R192" s="41"/>
      <c r="S192" s="42"/>
      <c r="T192" s="88">
        <f t="shared" si="229"/>
        <v>-109.18659038412932</v>
      </c>
      <c r="U192" s="89">
        <f>IF(Q192="tak",T192,IF(P192-SUM(AB$5:AB192)+1&gt;0,IF(Podsumowanie!E$7&lt;B192,IF(SUM(AB$5:AB192)-Podsumowanie!E$9+1&gt;0,PMT(M192/12,P192+1-SUM(AB$5:AB192),O192),T192),0),0))</f>
        <v>-1242.4683365655312</v>
      </c>
      <c r="V192" s="89">
        <f t="shared" si="222"/>
        <v>-1133.281746181402</v>
      </c>
      <c r="W192" s="90" t="str">
        <f>IF(R192&gt;0,R192/(C192*(1-Podsumowanie!E$11))," ")</f>
        <v xml:space="preserve"> </v>
      </c>
      <c r="X192" s="90">
        <f t="shared" si="150"/>
        <v>0</v>
      </c>
      <c r="Y192" s="91">
        <f t="shared" si="230"/>
        <v>-49.50457174833779</v>
      </c>
      <c r="Z192" s="90">
        <f>IF(P192-SUM(AB$5:AB192)+1&gt;0,IF(Podsumowanie!E$7&lt;B192,IF(SUM(AB$5:AB192)-Podsumowanie!E$9+1&gt;0,PMT(M192/12,P192+1-SUM(AB$5:AB192),N192),Y192),0),0)</f>
        <v>-563.3279938145834</v>
      </c>
      <c r="AA192" s="90">
        <f t="shared" si="223"/>
        <v>-513.8234220662456</v>
      </c>
      <c r="AB192" s="8">
        <f>IF(AND(Podsumowanie!E$7&lt;B192,SUM(AB$5:AB191)&lt;P191),1," ")</f>
        <v>1</v>
      </c>
      <c r="AD192" s="51">
        <f>IF(OR(B192&lt;Podsumowanie!E$12,Podsumowanie!E$12=""),-F192+S192,0)</f>
        <v>0</v>
      </c>
      <c r="AE192" s="51">
        <f t="shared" si="151"/>
        <v>563.3279938145834</v>
      </c>
      <c r="AG192" s="10">
        <f>Podsumowanie!E$4-SUM(AI$5:AI191)+SUM(W$42:W192)-SUM(X$42:X192)</f>
        <v>120736.82813555226</v>
      </c>
      <c r="AH192" s="10">
        <f t="shared" si="231"/>
        <v>46.28</v>
      </c>
      <c r="AI192" s="10">
        <f t="shared" si="232"/>
        <v>505.18</v>
      </c>
      <c r="AJ192" s="10">
        <f t="shared" si="224"/>
        <v>551.46</v>
      </c>
      <c r="AK192" s="10">
        <f t="shared" si="175"/>
        <v>2128.37</v>
      </c>
      <c r="AL192" s="10">
        <f>Podsumowanie!E$2-SUM(AN$5:AN191)+SUM(R$42:R192)-SUM(S$42:S192)</f>
        <v>266294.9899999999</v>
      </c>
      <c r="AM192" s="10">
        <f t="shared" si="233"/>
        <v>102.08</v>
      </c>
      <c r="AN192" s="10">
        <f t="shared" si="234"/>
        <v>1114.2</v>
      </c>
      <c r="AO192" s="10">
        <f t="shared" si="225"/>
        <v>1216.28</v>
      </c>
      <c r="AP192" s="10">
        <f t="shared" si="226"/>
        <v>912.0899999999999</v>
      </c>
      <c r="AR192" s="43">
        <f t="shared" si="176"/>
        <v>42948</v>
      </c>
      <c r="AS192" s="11">
        <f>AS$5+SUM(AV$5:AV191)-SUM(X$5:X192)+SUM(W$5:W192)</f>
        <v>125268.09025014171</v>
      </c>
      <c r="AT192" s="10">
        <f t="shared" si="235"/>
        <v>-48.01943459588765</v>
      </c>
      <c r="AU192" s="10">
        <f>IF(AB192=1,IF(Q192="tak",AT192,PMT(M192/12,P192+1-SUM(AB$5:AB192),AS192)),0)</f>
        <v>-546.4281540001458</v>
      </c>
      <c r="AV192" s="10">
        <f t="shared" si="186"/>
        <v>-498.40871940425814</v>
      </c>
      <c r="AW192" s="10">
        <f t="shared" si="187"/>
        <v>-2047.5209358539464</v>
      </c>
      <c r="AY192" s="11">
        <f>AY$5+SUM(BA$5:BA191)+SUM(W$5:W191)-SUM(X$5:X191)</f>
        <v>117114.56719148578</v>
      </c>
      <c r="AZ192" s="11">
        <f t="shared" si="236"/>
        <v>-48.01943459588765</v>
      </c>
      <c r="BA192" s="11">
        <f t="shared" si="237"/>
        <v>-490.02</v>
      </c>
      <c r="BB192" s="11">
        <f t="shared" si="238"/>
        <v>-538.0394345958877</v>
      </c>
      <c r="BC192" s="11">
        <f t="shared" si="177"/>
        <v>-2016.0875653742507</v>
      </c>
      <c r="BE192" s="172">
        <f t="shared" si="146"/>
        <v>0.0173</v>
      </c>
      <c r="BF192" s="44">
        <f>BE192+Podsumowanie!$E$6</f>
        <v>0.0293</v>
      </c>
      <c r="BG192" s="11">
        <f>BG$5+SUM(BH$5:BH191)+SUM(R$5:R191)-SUM(S$5:S191)</f>
        <v>321518.4169375291</v>
      </c>
      <c r="BH192" s="10">
        <f t="shared" si="227"/>
        <v>-986.8471010276088</v>
      </c>
      <c r="BI192" s="10">
        <f t="shared" si="228"/>
        <v>-785.0408013558002</v>
      </c>
      <c r="BJ192" s="10">
        <f>IF(U192&lt;0,PMT(BF192/12,Podsumowanie!E$8-SUM(AB$5:AB192)+1,BG192),0)</f>
        <v>-1771.887902383409</v>
      </c>
      <c r="BL192" s="11">
        <f>BL$5+SUM(BN$5:BN191)+SUM(R$5:R191)-SUM(S$5:S191)</f>
        <v>266295.26462395524</v>
      </c>
      <c r="BM192" s="11">
        <f t="shared" si="216"/>
        <v>-650.2042711234907</v>
      </c>
      <c r="BN192" s="11">
        <f t="shared" si="217"/>
        <v>-1114.206128133704</v>
      </c>
      <c r="BO192" s="11">
        <f t="shared" si="191"/>
        <v>-1764.4103992571945</v>
      </c>
      <c r="BQ192" s="44">
        <f t="shared" si="147"/>
        <v>0.0294</v>
      </c>
      <c r="BR192" s="11">
        <f>BR$5+SUM(BS$5:BS191)+SUM(R$5:R191)-SUM(S$5:S191)+SUM(BV$5:BV191)</f>
        <v>338557.20834773773</v>
      </c>
      <c r="BS192" s="10">
        <f t="shared" si="157"/>
        <v>-1038.0124399056176</v>
      </c>
      <c r="BT192" s="10">
        <f t="shared" si="158"/>
        <v>-829.4651604519573</v>
      </c>
      <c r="BU192" s="10">
        <f>IF(U192&lt;0,PMT(BQ192/12,Podsumowanie!E$8-SUM(AB$5:AB192)+1,BR192),0)</f>
        <v>-1867.4776003575748</v>
      </c>
      <c r="BV192" s="10">
        <f t="shared" si="152"/>
        <v>-306.6941150337293</v>
      </c>
      <c r="BX192" s="11">
        <f>BX$5+SUM(BZ$5:BZ191)+SUM(R$5:R191)-SUM(S$5:S191)+SUM(CB$5,CB191)</f>
        <v>265757.6589087611</v>
      </c>
      <c r="BY192" s="10">
        <f t="shared" si="148"/>
        <v>-651.1062643264647</v>
      </c>
      <c r="BZ192" s="10">
        <f t="shared" si="149"/>
        <v>-1111.9567318358206</v>
      </c>
      <c r="CA192" s="10">
        <f t="shared" si="159"/>
        <v>-1763.0629961622853</v>
      </c>
      <c r="CB192" s="10">
        <f t="shared" si="160"/>
        <v>-411.1087192290188</v>
      </c>
      <c r="CD192" s="10">
        <f>CD$5+SUM(CE$5:CE191)+SUM(R$5:R191)-SUM(S$5:S191)-SUM(CF$5:CF191)</f>
        <v>313605.6187281071</v>
      </c>
      <c r="CE192" s="10">
        <f t="shared" si="153"/>
        <v>651.1062643264647</v>
      </c>
      <c r="CF192" s="10">
        <f t="shared" si="154"/>
        <v>2174.171715391304</v>
      </c>
      <c r="CG192" s="10">
        <f t="shared" si="155"/>
        <v>1523.0654510648394</v>
      </c>
      <c r="CI192" s="44">
        <v>0.4613</v>
      </c>
      <c r="CJ192" s="10">
        <f t="shared" si="156"/>
        <v>-1002.95</v>
      </c>
      <c r="CK192" s="4">
        <f t="shared" si="161"/>
        <v>0</v>
      </c>
      <c r="CM192" s="10">
        <f t="shared" si="162"/>
        <v>-255753.1435452341</v>
      </c>
      <c r="CN192" s="4">
        <f t="shared" si="163"/>
        <v>-368.7107819443791</v>
      </c>
    </row>
    <row r="193" spans="1:92" ht="15.75">
      <c r="A193" s="36"/>
      <c r="B193" s="37">
        <v>42979</v>
      </c>
      <c r="C193" s="77">
        <f t="shared" si="144"/>
        <v>3.722</v>
      </c>
      <c r="D193" s="79">
        <f>C193*(1+Podsumowanie!E$11)</f>
        <v>3.83366</v>
      </c>
      <c r="E193" s="34">
        <f t="shared" si="218"/>
        <v>-563.3279938145834</v>
      </c>
      <c r="F193" s="7">
        <f t="shared" si="219"/>
        <v>-2159.607996767216</v>
      </c>
      <c r="G193" s="7">
        <f t="shared" si="220"/>
        <v>-1242.4683365655314</v>
      </c>
      <c r="H193" s="7">
        <f t="shared" si="221"/>
        <v>917.1396602016844</v>
      </c>
      <c r="I193" s="32"/>
      <c r="K193" s="4">
        <f>IF(B193&lt;Podsumowanie!E$7,0,K192+1)</f>
        <v>123</v>
      </c>
      <c r="L193" s="100">
        <f t="shared" si="145"/>
        <v>-0.0074</v>
      </c>
      <c r="M193" s="38">
        <f>L193+Podsumowanie!E$6</f>
        <v>0.0046</v>
      </c>
      <c r="N193" s="101">
        <f>MAX(Podsumowanie!E$4+SUM(AA$5:AA192)-SUM(X$5:X193)+SUM(W$5:W193),0)</f>
        <v>128628.53766055408</v>
      </c>
      <c r="O193" s="102">
        <f>MAX(Podsumowanie!E$2+SUM(V$5:V192)-SUM(S$5:S193)+SUM(R$5:R193),0)</f>
        <v>283701.3018645908</v>
      </c>
      <c r="P193" s="39">
        <f t="shared" si="192"/>
        <v>360</v>
      </c>
      <c r="Q193" s="40" t="str">
        <f>IF(AND(K193&gt;0,K193&lt;=Podsumowanie!E$9),"tak","nie")</f>
        <v>nie</v>
      </c>
      <c r="R193" s="41"/>
      <c r="S193" s="42"/>
      <c r="T193" s="88">
        <f t="shared" si="229"/>
        <v>-108.75216571475981</v>
      </c>
      <c r="U193" s="89">
        <f>IF(Q193="tak",T193,IF(P193-SUM(AB$5:AB193)+1&gt;0,IF(Podsumowanie!E$7&lt;B193,IF(SUM(AB$5:AB193)-Podsumowanie!E$9+1&gt;0,PMT(M193/12,P193+1-SUM(AB$5:AB193),O193),T193),0),0))</f>
        <v>-1242.4683365655314</v>
      </c>
      <c r="V193" s="89">
        <f t="shared" si="222"/>
        <v>-1133.7161708507717</v>
      </c>
      <c r="W193" s="90" t="str">
        <f>IF(R193&gt;0,R193/(C193*(1-Podsumowanie!E$11))," ")</f>
        <v xml:space="preserve"> </v>
      </c>
      <c r="X193" s="90">
        <f t="shared" si="150"/>
        <v>0</v>
      </c>
      <c r="Y193" s="91">
        <f t="shared" si="230"/>
        <v>-49.3076061032124</v>
      </c>
      <c r="Z193" s="90">
        <f>IF(P193-SUM(AB$5:AB193)+1&gt;0,IF(Podsumowanie!E$7&lt;B193,IF(SUM(AB$5:AB193)-Podsumowanie!E$9+1&gt;0,PMT(M193/12,P193+1-SUM(AB$5:AB193),N193),Y193),0),0)</f>
        <v>-563.3279938145834</v>
      </c>
      <c r="AA193" s="90">
        <f t="shared" si="223"/>
        <v>-514.020387711371</v>
      </c>
      <c r="AB193" s="8">
        <f>IF(AND(Podsumowanie!E$7&lt;B193,SUM(AB$5:AB192)&lt;P192),1," ")</f>
        <v>1</v>
      </c>
      <c r="AD193" s="51">
        <f>IF(OR(B193&lt;Podsumowanie!E$12,Podsumowanie!E$12=""),-F193+S193,0)</f>
        <v>0</v>
      </c>
      <c r="AE193" s="51">
        <f t="shared" si="151"/>
        <v>563.3279938145834</v>
      </c>
      <c r="AG193" s="10">
        <f>Podsumowanie!E$4-SUM(AI$5:AI192)+SUM(W$42:W193)-SUM(X$42:X193)</f>
        <v>120231.64813555227</v>
      </c>
      <c r="AH193" s="10">
        <f t="shared" si="231"/>
        <v>46.09</v>
      </c>
      <c r="AI193" s="10">
        <f t="shared" si="232"/>
        <v>505.17</v>
      </c>
      <c r="AJ193" s="10">
        <f t="shared" si="224"/>
        <v>551.26</v>
      </c>
      <c r="AK193" s="10">
        <f t="shared" si="175"/>
        <v>2113.34</v>
      </c>
      <c r="AL193" s="10">
        <f>Podsumowanie!E$2-SUM(AN$5:AN192)+SUM(R$42:R193)-SUM(S$42:S193)</f>
        <v>265180.7899999998</v>
      </c>
      <c r="AM193" s="10">
        <f t="shared" si="233"/>
        <v>101.65</v>
      </c>
      <c r="AN193" s="10">
        <f t="shared" si="234"/>
        <v>1114.21</v>
      </c>
      <c r="AO193" s="10">
        <f t="shared" si="225"/>
        <v>1215.8600000000001</v>
      </c>
      <c r="AP193" s="10">
        <f t="shared" si="226"/>
        <v>897.48</v>
      </c>
      <c r="AR193" s="43">
        <f t="shared" si="176"/>
        <v>42979</v>
      </c>
      <c r="AS193" s="11">
        <f>AS$5+SUM(AV$5:AV192)-SUM(X$5:X193)+SUM(W$5:W193)</f>
        <v>124769.68153073745</v>
      </c>
      <c r="AT193" s="10">
        <f t="shared" si="235"/>
        <v>-47.828377920116026</v>
      </c>
      <c r="AU193" s="10">
        <f>IF(AB193=1,IF(Q193="tak",AT193,PMT(M193/12,P193+1-SUM(AB$5:AB193),AS193)),0)</f>
        <v>-546.4281540001458</v>
      </c>
      <c r="AV193" s="10">
        <f t="shared" si="186"/>
        <v>-498.59977608002976</v>
      </c>
      <c r="AW193" s="10">
        <f t="shared" si="187"/>
        <v>-2033.8055891885426</v>
      </c>
      <c r="AY193" s="11">
        <f>AY$5+SUM(BA$5:BA192)+SUM(W$5:W192)-SUM(X$5:X192)</f>
        <v>116624.54719148578</v>
      </c>
      <c r="AZ193" s="11">
        <f t="shared" si="236"/>
        <v>-47.828377920116026</v>
      </c>
      <c r="BA193" s="11">
        <f t="shared" si="237"/>
        <v>-490.02</v>
      </c>
      <c r="BB193" s="11">
        <f t="shared" si="238"/>
        <v>-537.848377920116</v>
      </c>
      <c r="BC193" s="11">
        <f t="shared" si="177"/>
        <v>-2001.871662618672</v>
      </c>
      <c r="BE193" s="172">
        <f t="shared" si="146"/>
        <v>0.0173</v>
      </c>
      <c r="BF193" s="44">
        <f>BE193+Podsumowanie!$E$6</f>
        <v>0.0293</v>
      </c>
      <c r="BG193" s="11">
        <f>BG$5+SUM(BH$5:BH192)+SUM(R$5:R192)-SUM(S$5:S192)</f>
        <v>320531.5698365015</v>
      </c>
      <c r="BH193" s="10">
        <f t="shared" si="227"/>
        <v>-989.2566526992842</v>
      </c>
      <c r="BI193" s="10">
        <f t="shared" si="228"/>
        <v>-782.6312496841246</v>
      </c>
      <c r="BJ193" s="10">
        <f>IF(U193&lt;0,PMT(BF193/12,Podsumowanie!E$8-SUM(AB$5:AB193)+1,BG193),0)</f>
        <v>-1771.8879023834088</v>
      </c>
      <c r="BL193" s="11">
        <f>BL$5+SUM(BN$5:BN192)+SUM(R$5:R192)-SUM(S$5:S192)</f>
        <v>265181.05849582155</v>
      </c>
      <c r="BM193" s="11">
        <f t="shared" si="216"/>
        <v>-647.483751160631</v>
      </c>
      <c r="BN193" s="11">
        <f t="shared" si="217"/>
        <v>-1114.206128133704</v>
      </c>
      <c r="BO193" s="11">
        <f t="shared" si="191"/>
        <v>-1761.6898792943348</v>
      </c>
      <c r="BQ193" s="44">
        <f t="shared" si="147"/>
        <v>0.0294</v>
      </c>
      <c r="BR193" s="11">
        <f>BR$5+SUM(BS$5:BS192)+SUM(R$5:R192)-SUM(S$5:S192)+SUM(BV$5:BV192)</f>
        <v>337212.5017927984</v>
      </c>
      <c r="BS193" s="10">
        <f t="shared" si="157"/>
        <v>-1039.610047065983</v>
      </c>
      <c r="BT193" s="10">
        <f t="shared" si="158"/>
        <v>-826.1706293923561</v>
      </c>
      <c r="BU193" s="10">
        <f>IF(U193&lt;0,PMT(BQ193/12,Podsumowanie!E$8-SUM(AB$5:AB193)+1,BR193),0)</f>
        <v>-1865.780676458339</v>
      </c>
      <c r="BV193" s="10">
        <f t="shared" si="152"/>
        <v>-293.8273203088768</v>
      </c>
      <c r="BX193" s="11">
        <f>BX$5+SUM(BZ$5:BZ192)+SUM(R$5:R192)-SUM(S$5:S192)+SUM(CB$5,CB192)</f>
        <v>264690.6987973992</v>
      </c>
      <c r="BY193" s="10">
        <f t="shared" si="148"/>
        <v>-648.4922120536279</v>
      </c>
      <c r="BZ193" s="10">
        <f t="shared" si="149"/>
        <v>-1112.1457932663832</v>
      </c>
      <c r="CA193" s="10">
        <f t="shared" si="159"/>
        <v>-1760.638005320011</v>
      </c>
      <c r="CB193" s="10">
        <f t="shared" si="160"/>
        <v>-398.96999144720485</v>
      </c>
      <c r="CD193" s="10">
        <f>CD$5+SUM(CE$5:CE192)+SUM(R$5:R192)-SUM(S$5:S192)-SUM(CF$5:CF192)</f>
        <v>312082.5532770422</v>
      </c>
      <c r="CE193" s="10">
        <f t="shared" si="153"/>
        <v>648.4922120536279</v>
      </c>
      <c r="CF193" s="10">
        <f t="shared" si="154"/>
        <v>2159.607996767216</v>
      </c>
      <c r="CG193" s="10">
        <f t="shared" si="155"/>
        <v>1511.1157847135878</v>
      </c>
      <c r="CI193" s="44">
        <v>0.4628</v>
      </c>
      <c r="CJ193" s="10">
        <f t="shared" si="156"/>
        <v>-999.47</v>
      </c>
      <c r="CK193" s="4">
        <f t="shared" si="161"/>
        <v>0</v>
      </c>
      <c r="CM193" s="10">
        <f t="shared" si="162"/>
        <v>-257912.75154200132</v>
      </c>
      <c r="CN193" s="4">
        <f t="shared" si="163"/>
        <v>-371.8242168063852</v>
      </c>
    </row>
    <row r="194" spans="1:92" ht="15.75">
      <c r="A194" s="36"/>
      <c r="B194" s="37">
        <v>43009</v>
      </c>
      <c r="C194" s="77">
        <f t="shared" si="144"/>
        <v>3.6968</v>
      </c>
      <c r="D194" s="79">
        <f>C194*(1+Podsumowanie!E$11)</f>
        <v>3.807704</v>
      </c>
      <c r="E194" s="34">
        <f aca="true" t="shared" si="239" ref="E194:E199">Z194</f>
        <v>-563.3279938145834</v>
      </c>
      <c r="F194" s="7">
        <f aca="true" t="shared" si="240" ref="F194:F199">E194*D194</f>
        <v>-2144.9862553597645</v>
      </c>
      <c r="G194" s="7">
        <f aca="true" t="shared" si="241" ref="G194:G199">U194</f>
        <v>-1242.4683365655312</v>
      </c>
      <c r="H194" s="7">
        <f aca="true" t="shared" si="242" ref="H194:H199">G194-F194</f>
        <v>902.5179187942333</v>
      </c>
      <c r="I194" s="32"/>
      <c r="K194" s="4">
        <f>IF(B194&lt;Podsumowanie!E$7,0,K193+1)</f>
        <v>124</v>
      </c>
      <c r="L194" s="100">
        <f t="shared" si="145"/>
        <v>-0.0074</v>
      </c>
      <c r="M194" s="38">
        <f>L194+Podsumowanie!E$6</f>
        <v>0.0046</v>
      </c>
      <c r="N194" s="101">
        <f>MAX(Podsumowanie!E$4+SUM(AA$5:AA193)-SUM(X$5:X194)+SUM(W$5:W194),0)</f>
        <v>128114.51727284271</v>
      </c>
      <c r="O194" s="102">
        <f>MAX(Podsumowanie!E$2+SUM(V$5:V193)-SUM(S$5:S194)+SUM(R$5:R194),0)</f>
        <v>282567.58569374</v>
      </c>
      <c r="P194" s="39">
        <f t="shared" si="192"/>
        <v>360</v>
      </c>
      <c r="Q194" s="40" t="str">
        <f>IF(AND(K194&gt;0,K194&lt;=Podsumowanie!E$9),"tak","nie")</f>
        <v>nie</v>
      </c>
      <c r="R194" s="41"/>
      <c r="S194" s="42"/>
      <c r="T194" s="88">
        <f aca="true" t="shared" si="243" ref="T194:T199">IF(AB194=1,-O194*M194/12,0)</f>
        <v>-108.31757451593366</v>
      </c>
      <c r="U194" s="89">
        <f>IF(Q194="tak",T194,IF(P194-SUM(AB$5:AB194)+1&gt;0,IF(Podsumowanie!E$7&lt;B194,IF(SUM(AB$5:AB194)-Podsumowanie!E$9+1&gt;0,PMT(M194/12,P194+1-SUM(AB$5:AB194),O194),T194),0),0))</f>
        <v>-1242.4683365655312</v>
      </c>
      <c r="V194" s="89">
        <f aca="true" t="shared" si="244" ref="V194:V199">U194-T194</f>
        <v>-1134.1507620495975</v>
      </c>
      <c r="W194" s="90" t="str">
        <f>IF(R194&gt;0,R194/(C194*(1-Podsumowanie!E$11))," ")</f>
        <v xml:space="preserve"> </v>
      </c>
      <c r="X194" s="90">
        <f t="shared" si="150"/>
        <v>0</v>
      </c>
      <c r="Y194" s="91">
        <f aca="true" t="shared" si="245" ref="Y194:Y199">IF(AB194=1,-N194*M194/12,0)</f>
        <v>-49.110564954589705</v>
      </c>
      <c r="Z194" s="90">
        <f>IF(P194-SUM(AB$5:AB194)+1&gt;0,IF(Podsumowanie!E$7&lt;B194,IF(SUM(AB$5:AB194)-Podsumowanie!E$9+1&gt;0,PMT(M194/12,P194+1-SUM(AB$5:AB194),N194),Y194),0),0)</f>
        <v>-563.3279938145834</v>
      </c>
      <c r="AA194" s="90">
        <f aca="true" t="shared" si="246" ref="AA194:AA199">Z194-Y194</f>
        <v>-514.2174288599937</v>
      </c>
      <c r="AB194" s="8">
        <f>IF(AND(Podsumowanie!E$7&lt;B194,SUM(AB$5:AB193)&lt;P193),1," ")</f>
        <v>1</v>
      </c>
      <c r="AD194" s="51">
        <f>IF(OR(B194&lt;Podsumowanie!E$12,Podsumowanie!E$12=""),-F194+S194,0)</f>
        <v>0</v>
      </c>
      <c r="AE194" s="51">
        <f t="shared" si="151"/>
        <v>563.3279938145834</v>
      </c>
      <c r="AG194" s="10">
        <f>Podsumowanie!E$4-SUM(AI$5:AI193)+SUM(W$42:W194)-SUM(X$42:X194)</f>
        <v>119726.47813555226</v>
      </c>
      <c r="AH194" s="10">
        <f aca="true" t="shared" si="247" ref="AH194:AH199">IF(AB194=1,ROUND(AG194*M194/12,2),0)</f>
        <v>45.9</v>
      </c>
      <c r="AI194" s="10">
        <f aca="true" t="shared" si="248" ref="AI194:AI199">IF(Q194="tak",0,IF(AB194=1,ROUND(AG194/(P194-K194+1),2),0))</f>
        <v>505.18</v>
      </c>
      <c r="AJ194" s="10">
        <f aca="true" t="shared" si="249" ref="AJ194:AJ199">AI194+AH194</f>
        <v>551.08</v>
      </c>
      <c r="AK194" s="10">
        <f t="shared" si="175"/>
        <v>2098.35</v>
      </c>
      <c r="AL194" s="10">
        <f>Podsumowanie!E$2-SUM(AN$5:AN193)+SUM(R$42:R194)-SUM(S$42:S194)</f>
        <v>264066.57999999984</v>
      </c>
      <c r="AM194" s="10">
        <f aca="true" t="shared" si="250" ref="AM194:AM199">IF(AB194=1,ROUND(AL194*M194/12,2),0)</f>
        <v>101.23</v>
      </c>
      <c r="AN194" s="10">
        <f aca="true" t="shared" si="251" ref="AN194:AN199">IF(Q194="tak",0,IF(AB194=1,ROUND(AL194/(P194-K194+1),2),0))</f>
        <v>1114.2</v>
      </c>
      <c r="AO194" s="10">
        <f aca="true" t="shared" si="252" ref="AO194:AO199">AN194+AM194</f>
        <v>1215.43</v>
      </c>
      <c r="AP194" s="10">
        <f aca="true" t="shared" si="253" ref="AP194:AP199">AK194-AO194</f>
        <v>882.9199999999998</v>
      </c>
      <c r="AR194" s="43">
        <f t="shared" si="176"/>
        <v>43009</v>
      </c>
      <c r="AS194" s="11">
        <f>AS$5+SUM(AV$5:AV193)-SUM(X$5:X194)+SUM(W$5:W194)</f>
        <v>124271.08175465741</v>
      </c>
      <c r="AT194" s="10">
        <f aca="true" t="shared" si="254" ref="AT194:AT199">IF(AB194=1,-AS194*M194/12,0)</f>
        <v>-47.63724800595201</v>
      </c>
      <c r="AU194" s="10">
        <f>IF(AB194=1,IF(Q194="tak",AT194,PMT(M194/12,P194+1-SUM(AB$5:AB194),AS194)),0)</f>
        <v>-546.4281540001457</v>
      </c>
      <c r="AV194" s="10">
        <f t="shared" si="186"/>
        <v>-498.7909059941937</v>
      </c>
      <c r="AW194" s="10">
        <f t="shared" si="187"/>
        <v>-2020.0355997077386</v>
      </c>
      <c r="AY194" s="11">
        <f>AY$5+SUM(BA$5:BA193)+SUM(W$5:W193)-SUM(X$5:X193)</f>
        <v>116134.52719148577</v>
      </c>
      <c r="AZ194" s="11">
        <f aca="true" t="shared" si="255" ref="AZ194:AZ199">IF(AB194=1,-AS194*M194/12,0)</f>
        <v>-47.63724800595201</v>
      </c>
      <c r="BA194" s="11">
        <f aca="true" t="shared" si="256" ref="BA194:BA199">IF(AB194=1,IF(Q194="tak",0,ROUND(-AY194/(P194-K194+1),2)),0)</f>
        <v>-490.02</v>
      </c>
      <c r="BB194" s="11">
        <f aca="true" t="shared" si="257" ref="BB194:BB199">BA194+AZ194</f>
        <v>-537.6572480059519</v>
      </c>
      <c r="BC194" s="11">
        <f t="shared" si="177"/>
        <v>-1987.6113144284031</v>
      </c>
      <c r="BE194" s="172">
        <f t="shared" si="146"/>
        <v>0.0173</v>
      </c>
      <c r="BF194" s="44">
        <f>BE194+Podsumowanie!$E$6</f>
        <v>0.0293</v>
      </c>
      <c r="BG194" s="11">
        <f>BG$5+SUM(BH$5:BH193)+SUM(R$5:R193)-SUM(S$5:S193)</f>
        <v>319542.3131838022</v>
      </c>
      <c r="BH194" s="10">
        <f aca="true" t="shared" si="258" ref="BH194:BH199">IF(BJ194&lt;0,BJ194-BI194,0)</f>
        <v>-991.6720876929583</v>
      </c>
      <c r="BI194" s="10">
        <f aca="true" t="shared" si="259" ref="BI194:BI199">IF(BJ194&lt;0,-BG194*BF194/12,0)</f>
        <v>-780.2158146904503</v>
      </c>
      <c r="BJ194" s="10">
        <f>IF(U194&lt;0,PMT(BF194/12,Podsumowanie!E$8-SUM(AB$5:AB194)+1,BG194),0)</f>
        <v>-1771.8879023834086</v>
      </c>
      <c r="BL194" s="11">
        <f>BL$5+SUM(BN$5:BN193)+SUM(R$5:R193)-SUM(S$5:S193)</f>
        <v>264066.85236768785</v>
      </c>
      <c r="BM194" s="11">
        <f t="shared" si="216"/>
        <v>-644.7632311977712</v>
      </c>
      <c r="BN194" s="11">
        <f t="shared" si="217"/>
        <v>-1114.206128133704</v>
      </c>
      <c r="BO194" s="11">
        <f t="shared" si="191"/>
        <v>-1758.969359331475</v>
      </c>
      <c r="BQ194" s="44">
        <f t="shared" si="147"/>
        <v>0.0294</v>
      </c>
      <c r="BR194" s="11">
        <f>BR$5+SUM(BS$5:BS193)+SUM(R$5:R193)-SUM(S$5:S193)+SUM(BV$5:BV193)</f>
        <v>335879.0644254235</v>
      </c>
      <c r="BS194" s="10">
        <f t="shared" si="157"/>
        <v>-1041.246208522336</v>
      </c>
      <c r="BT194" s="10">
        <f t="shared" si="158"/>
        <v>-822.9037078422875</v>
      </c>
      <c r="BU194" s="10">
        <f>IF(U194&lt;0,PMT(BQ194/12,Podsumowanie!E$8-SUM(AB$5:AB194)+1,BR194),0)</f>
        <v>-1864.1499163646236</v>
      </c>
      <c r="BV194" s="10">
        <f t="shared" si="152"/>
        <v>-280.836338995141</v>
      </c>
      <c r="BX194" s="11">
        <f>BX$5+SUM(BZ$5:BZ193)+SUM(R$5:R193)-SUM(S$5:S193)+SUM(CB$5,CB193)</f>
        <v>263590.6917319146</v>
      </c>
      <c r="BY194" s="10">
        <f t="shared" si="148"/>
        <v>-645.7971947431907</v>
      </c>
      <c r="BZ194" s="10">
        <f t="shared" si="149"/>
        <v>-1112.1970115270658</v>
      </c>
      <c r="CA194" s="10">
        <f t="shared" si="159"/>
        <v>-1757.9942062702567</v>
      </c>
      <c r="CB194" s="10">
        <f t="shared" si="160"/>
        <v>-386.9920490895079</v>
      </c>
      <c r="CD194" s="10">
        <f>CD$5+SUM(CE$5:CE193)+SUM(R$5:R193)-SUM(S$5:S193)-SUM(CF$5:CF193)</f>
        <v>310571.43749232864</v>
      </c>
      <c r="CE194" s="10">
        <f t="shared" si="153"/>
        <v>645.7971947431907</v>
      </c>
      <c r="CF194" s="10">
        <f t="shared" si="154"/>
        <v>2144.9862553597645</v>
      </c>
      <c r="CG194" s="10">
        <f t="shared" si="155"/>
        <v>1499.189060616574</v>
      </c>
      <c r="CI194" s="44">
        <v>0.4569</v>
      </c>
      <c r="CJ194" s="10">
        <f t="shared" si="156"/>
        <v>-980.04</v>
      </c>
      <c r="CK194" s="4">
        <f t="shared" si="161"/>
        <v>0</v>
      </c>
      <c r="CM194" s="10">
        <f t="shared" si="162"/>
        <v>-260057.7377973611</v>
      </c>
      <c r="CN194" s="4">
        <f t="shared" si="163"/>
        <v>-374.91657199119555</v>
      </c>
    </row>
    <row r="195" spans="1:92" ht="15.75">
      <c r="A195" s="36"/>
      <c r="B195" s="37">
        <v>43040</v>
      </c>
      <c r="C195" s="77">
        <f t="shared" si="144"/>
        <v>3.6328</v>
      </c>
      <c r="D195" s="79">
        <f>C195*(1+Podsumowanie!E$11)</f>
        <v>3.741784</v>
      </c>
      <c r="E195" s="34">
        <f t="shared" si="239"/>
        <v>-563.3279938145834</v>
      </c>
      <c r="F195" s="7">
        <f t="shared" si="240"/>
        <v>-2107.851674007507</v>
      </c>
      <c r="G195" s="7">
        <f t="shared" si="241"/>
        <v>-1242.4683365655312</v>
      </c>
      <c r="H195" s="7">
        <f t="shared" si="242"/>
        <v>865.3833374419758</v>
      </c>
      <c r="I195" s="32"/>
      <c r="K195" s="4">
        <f>IF(B195&lt;Podsumowanie!E$7,0,K194+1)</f>
        <v>125</v>
      </c>
      <c r="L195" s="100">
        <f t="shared" si="145"/>
        <v>-0.0074</v>
      </c>
      <c r="M195" s="38">
        <f>L195+Podsumowanie!E$6</f>
        <v>0.0046</v>
      </c>
      <c r="N195" s="101">
        <f>MAX(Podsumowanie!E$4+SUM(AA$5:AA194)-SUM(X$5:X195)+SUM(W$5:W195),0)</f>
        <v>127600.29984398272</v>
      </c>
      <c r="O195" s="102">
        <f>MAX(Podsumowanie!E$2+SUM(V$5:V194)-SUM(S$5:S195)+SUM(R$5:R195),0)</f>
        <v>281433.4349316904</v>
      </c>
      <c r="P195" s="39">
        <f t="shared" si="192"/>
        <v>360</v>
      </c>
      <c r="Q195" s="40" t="str">
        <f>IF(AND(K195&gt;0,K195&lt;=Podsumowanie!E$9),"tak","nie")</f>
        <v>nie</v>
      </c>
      <c r="R195" s="41"/>
      <c r="S195" s="42"/>
      <c r="T195" s="88">
        <f t="shared" si="243"/>
        <v>-107.88281672381464</v>
      </c>
      <c r="U195" s="89">
        <f>IF(Q195="tak",T195,IF(P195-SUM(AB$5:AB195)+1&gt;0,IF(Podsumowanie!E$7&lt;B195,IF(SUM(AB$5:AB195)-Podsumowanie!E$9+1&gt;0,PMT(M195/12,P195+1-SUM(AB$5:AB195),O195),T195),0),0))</f>
        <v>-1242.4683365655312</v>
      </c>
      <c r="V195" s="89">
        <f t="shared" si="244"/>
        <v>-1134.5855198417166</v>
      </c>
      <c r="W195" s="90" t="str">
        <f>IF(R195&gt;0,R195/(C195*(1-Podsumowanie!E$11))," ")</f>
        <v xml:space="preserve"> </v>
      </c>
      <c r="X195" s="90">
        <f t="shared" si="150"/>
        <v>0</v>
      </c>
      <c r="Y195" s="91">
        <f t="shared" si="245"/>
        <v>-48.91344827352671</v>
      </c>
      <c r="Z195" s="90">
        <f>IF(P195-SUM(AB$5:AB195)+1&gt;0,IF(Podsumowanie!E$7&lt;B195,IF(SUM(AB$5:AB195)-Podsumowanie!E$9+1&gt;0,PMT(M195/12,P195+1-SUM(AB$5:AB195),N195),Y195),0),0)</f>
        <v>-563.3279938145834</v>
      </c>
      <c r="AA195" s="90">
        <f t="shared" si="246"/>
        <v>-514.4145455410567</v>
      </c>
      <c r="AB195" s="8">
        <f>IF(AND(Podsumowanie!E$7&lt;B195,SUM(AB$5:AB194)&lt;P194),1," ")</f>
        <v>1</v>
      </c>
      <c r="AD195" s="51">
        <f>IF(OR(B195&lt;Podsumowanie!E$12,Podsumowanie!E$12=""),-F195+S195,0)</f>
        <v>0</v>
      </c>
      <c r="AE195" s="51">
        <f t="shared" si="151"/>
        <v>563.3279938145834</v>
      </c>
      <c r="AG195" s="10">
        <f>Podsumowanie!E$4-SUM(AI$5:AI194)+SUM(W$42:W195)-SUM(X$42:X195)</f>
        <v>119221.29813555226</v>
      </c>
      <c r="AH195" s="10">
        <f t="shared" si="247"/>
        <v>45.7</v>
      </c>
      <c r="AI195" s="10">
        <f t="shared" si="248"/>
        <v>505.17</v>
      </c>
      <c r="AJ195" s="10">
        <f t="shared" si="249"/>
        <v>550.87</v>
      </c>
      <c r="AK195" s="10">
        <f t="shared" si="175"/>
        <v>2061.24</v>
      </c>
      <c r="AL195" s="10">
        <f>Podsumowanie!E$2-SUM(AN$5:AN194)+SUM(R$42:R195)-SUM(S$42:S195)</f>
        <v>262952.37999999983</v>
      </c>
      <c r="AM195" s="10">
        <f t="shared" si="250"/>
        <v>100.8</v>
      </c>
      <c r="AN195" s="10">
        <f t="shared" si="251"/>
        <v>1114.21</v>
      </c>
      <c r="AO195" s="10">
        <f t="shared" si="252"/>
        <v>1215.01</v>
      </c>
      <c r="AP195" s="10">
        <f t="shared" si="253"/>
        <v>846.2299999999998</v>
      </c>
      <c r="AR195" s="43">
        <f t="shared" si="176"/>
        <v>43040</v>
      </c>
      <c r="AS195" s="11">
        <f>AS$5+SUM(AV$5:AV194)-SUM(X$5:X195)+SUM(W$5:W195)</f>
        <v>123772.29084866322</v>
      </c>
      <c r="AT195" s="10">
        <f t="shared" si="254"/>
        <v>-47.446044825320904</v>
      </c>
      <c r="AU195" s="10">
        <f>IF(AB195=1,IF(Q195="tak",AT195,PMT(M195/12,P195+1-SUM(AB$5:AB195),AS195)),0)</f>
        <v>-546.4281540001458</v>
      </c>
      <c r="AV195" s="10">
        <f t="shared" si="186"/>
        <v>-498.9821091748249</v>
      </c>
      <c r="AW195" s="10">
        <f t="shared" si="187"/>
        <v>-1985.0641978517297</v>
      </c>
      <c r="AY195" s="11">
        <f>AY$5+SUM(BA$5:BA194)+SUM(W$5:W194)-SUM(X$5:X194)</f>
        <v>115644.50719148578</v>
      </c>
      <c r="AZ195" s="11">
        <f t="shared" si="255"/>
        <v>-47.446044825320904</v>
      </c>
      <c r="BA195" s="11">
        <f t="shared" si="256"/>
        <v>-490.02</v>
      </c>
      <c r="BB195" s="11">
        <f t="shared" si="257"/>
        <v>-537.4660448253209</v>
      </c>
      <c r="BC195" s="11">
        <f t="shared" si="177"/>
        <v>-1952.5066476414256</v>
      </c>
      <c r="BE195" s="172">
        <f t="shared" si="146"/>
        <v>0.0173</v>
      </c>
      <c r="BF195" s="44">
        <f>BE195+Podsumowanie!$E$6</f>
        <v>0.0293</v>
      </c>
      <c r="BG195" s="11">
        <f>BG$5+SUM(BH$5:BH194)+SUM(R$5:R194)-SUM(S$5:S194)</f>
        <v>318550.64109610923</v>
      </c>
      <c r="BH195" s="10">
        <f t="shared" si="258"/>
        <v>-994.0934203737419</v>
      </c>
      <c r="BI195" s="10">
        <f t="shared" si="259"/>
        <v>-777.7944820096667</v>
      </c>
      <c r="BJ195" s="10">
        <f>IF(U195&lt;0,PMT(BF195/12,Podsumowanie!E$8-SUM(AB$5:AB195)+1,BG195),0)</f>
        <v>-1771.8879023834086</v>
      </c>
      <c r="BL195" s="11">
        <f>BL$5+SUM(BN$5:BN194)+SUM(R$5:R194)-SUM(S$5:S194)</f>
        <v>262952.64623955416</v>
      </c>
      <c r="BM195" s="11">
        <f t="shared" si="216"/>
        <v>-642.0427112349114</v>
      </c>
      <c r="BN195" s="11">
        <f t="shared" si="217"/>
        <v>-1114.2061281337042</v>
      </c>
      <c r="BO195" s="11">
        <f t="shared" si="191"/>
        <v>-1756.2488393686156</v>
      </c>
      <c r="BQ195" s="44">
        <f t="shared" si="147"/>
        <v>0.0294</v>
      </c>
      <c r="BR195" s="11">
        <f>BR$5+SUM(BS$5:BS194)+SUM(R$5:R194)-SUM(S$5:S194)+SUM(BV$5:BV194)</f>
        <v>334556.981877906</v>
      </c>
      <c r="BS195" s="10">
        <f t="shared" si="157"/>
        <v>-1042.9218044649792</v>
      </c>
      <c r="BT195" s="10">
        <f t="shared" si="158"/>
        <v>-819.6646056008698</v>
      </c>
      <c r="BU195" s="10">
        <f>IF(U195&lt;0,PMT(BQ195/12,Podsumowanie!E$8-SUM(AB$5:AB195)+1,BR195),0)</f>
        <v>-1862.586410065849</v>
      </c>
      <c r="BV195" s="10">
        <f t="shared" si="152"/>
        <v>-245.26526394165808</v>
      </c>
      <c r="BX195" s="11">
        <f>BX$5+SUM(BZ$5:BZ194)+SUM(R$5:R194)-SUM(S$5:S194)+SUM(CB$5,CB194)</f>
        <v>262490.4726627453</v>
      </c>
      <c r="BY195" s="10">
        <f t="shared" si="148"/>
        <v>-643.1016580237259</v>
      </c>
      <c r="BZ195" s="10">
        <f t="shared" si="149"/>
        <v>-1112.2477655201071</v>
      </c>
      <c r="CA195" s="10">
        <f t="shared" si="159"/>
        <v>-1755.349423543833</v>
      </c>
      <c r="CB195" s="10">
        <f t="shared" si="160"/>
        <v>-352.50225046367405</v>
      </c>
      <c r="CD195" s="10">
        <f>CD$5+SUM(CE$5:CE194)+SUM(R$5:R194)-SUM(S$5:S194)-SUM(CF$5:CF194)</f>
        <v>309072.24843171204</v>
      </c>
      <c r="CE195" s="10">
        <f t="shared" si="153"/>
        <v>643.1016580237259</v>
      </c>
      <c r="CF195" s="10">
        <f t="shared" si="154"/>
        <v>2107.851674007507</v>
      </c>
      <c r="CG195" s="10">
        <f t="shared" si="155"/>
        <v>1464.750015983781</v>
      </c>
      <c r="CI195" s="44">
        <v>0.4497</v>
      </c>
      <c r="CJ195" s="10">
        <f t="shared" si="156"/>
        <v>-947.9</v>
      </c>
      <c r="CK195" s="4">
        <f t="shared" si="161"/>
        <v>0</v>
      </c>
      <c r="CM195" s="10">
        <f t="shared" si="162"/>
        <v>-262165.5894713686</v>
      </c>
      <c r="CN195" s="4">
        <f t="shared" si="163"/>
        <v>-377.9553914878897</v>
      </c>
    </row>
    <row r="196" spans="1:92" ht="15.75">
      <c r="A196" s="36"/>
      <c r="B196" s="37">
        <v>43070</v>
      </c>
      <c r="C196" s="77">
        <f t="shared" si="144"/>
        <v>3.5938</v>
      </c>
      <c r="D196" s="79">
        <f>C196*(1+Podsumowanie!E$11)</f>
        <v>3.701614</v>
      </c>
      <c r="E196" s="34">
        <f t="shared" si="239"/>
        <v>-563.3279938145834</v>
      </c>
      <c r="F196" s="7">
        <f t="shared" si="240"/>
        <v>-2085.2227884959752</v>
      </c>
      <c r="G196" s="7">
        <f t="shared" si="241"/>
        <v>-1242.4683365655312</v>
      </c>
      <c r="H196" s="7">
        <f t="shared" si="242"/>
        <v>842.754451930444</v>
      </c>
      <c r="I196" s="32"/>
      <c r="K196" s="4">
        <f>IF(B196&lt;Podsumowanie!E$7,0,K195+1)</f>
        <v>126</v>
      </c>
      <c r="L196" s="100">
        <f t="shared" si="145"/>
        <v>-0.0074</v>
      </c>
      <c r="M196" s="38">
        <f>L196+Podsumowanie!E$6</f>
        <v>0.0046</v>
      </c>
      <c r="N196" s="101">
        <f>MAX(Podsumowanie!E$4+SUM(AA$5:AA195)-SUM(X$5:X196)+SUM(W$5:W196),0)</f>
        <v>127085.88529844166</v>
      </c>
      <c r="O196" s="102">
        <f>MAX(Podsumowanie!E$2+SUM(V$5:V195)-SUM(S$5:S196)+SUM(R$5:R196),0)</f>
        <v>280298.8494118487</v>
      </c>
      <c r="P196" s="39">
        <f t="shared" si="192"/>
        <v>360</v>
      </c>
      <c r="Q196" s="40" t="str">
        <f>IF(AND(K196&gt;0,K196&lt;=Podsumowanie!E$9),"tak","nie")</f>
        <v>nie</v>
      </c>
      <c r="R196" s="41"/>
      <c r="S196" s="42"/>
      <c r="T196" s="88">
        <f t="shared" si="243"/>
        <v>-107.44789227454201</v>
      </c>
      <c r="U196" s="89">
        <f>IF(Q196="tak",T196,IF(P196-SUM(AB$5:AB196)+1&gt;0,IF(Podsumowanie!E$7&lt;B196,IF(SUM(AB$5:AB196)-Podsumowanie!E$9+1&gt;0,PMT(M196/12,P196+1-SUM(AB$5:AB196),O196),T196),0),0))</f>
        <v>-1242.4683365655312</v>
      </c>
      <c r="V196" s="89">
        <f t="shared" si="244"/>
        <v>-1135.0204442909892</v>
      </c>
      <c r="W196" s="90" t="str">
        <f>IF(R196&gt;0,R196/(C196*(1-Podsumowanie!E$11))," ")</f>
        <v xml:space="preserve"> </v>
      </c>
      <c r="X196" s="90">
        <f t="shared" si="150"/>
        <v>0</v>
      </c>
      <c r="Y196" s="91">
        <f t="shared" si="245"/>
        <v>-48.7162560310693</v>
      </c>
      <c r="Z196" s="90">
        <f>IF(P196-SUM(AB$5:AB196)+1&gt;0,IF(Podsumowanie!E$7&lt;B196,IF(SUM(AB$5:AB196)-Podsumowanie!E$9+1&gt;0,PMT(M196/12,P196+1-SUM(AB$5:AB196),N196),Y196),0),0)</f>
        <v>-563.3279938145834</v>
      </c>
      <c r="AA196" s="90">
        <f t="shared" si="246"/>
        <v>-514.6117377835141</v>
      </c>
      <c r="AB196" s="8">
        <f>IF(AND(Podsumowanie!E$7&lt;B196,SUM(AB$5:AB195)&lt;P195),1," ")</f>
        <v>1</v>
      </c>
      <c r="AD196" s="51">
        <f>IF(OR(B196&lt;Podsumowanie!E$12,Podsumowanie!E$12=""),-F196+S196,0)</f>
        <v>0</v>
      </c>
      <c r="AE196" s="51">
        <f t="shared" si="151"/>
        <v>563.3279938145834</v>
      </c>
      <c r="AG196" s="10">
        <f>Podsumowanie!E$4-SUM(AI$5:AI195)+SUM(W$42:W196)-SUM(X$42:X196)</f>
        <v>118716.12813555227</v>
      </c>
      <c r="AH196" s="10">
        <f t="shared" si="247"/>
        <v>45.51</v>
      </c>
      <c r="AI196" s="10">
        <f t="shared" si="248"/>
        <v>505.18</v>
      </c>
      <c r="AJ196" s="10">
        <f t="shared" si="249"/>
        <v>550.69</v>
      </c>
      <c r="AK196" s="10">
        <f t="shared" si="175"/>
        <v>2038.44</v>
      </c>
      <c r="AL196" s="10">
        <f>Podsumowanie!E$2-SUM(AN$5:AN195)+SUM(R$42:R196)-SUM(S$42:S196)</f>
        <v>261838.16999999984</v>
      </c>
      <c r="AM196" s="10">
        <f t="shared" si="250"/>
        <v>100.37</v>
      </c>
      <c r="AN196" s="10">
        <f t="shared" si="251"/>
        <v>1114.2</v>
      </c>
      <c r="AO196" s="10">
        <f t="shared" si="252"/>
        <v>1214.5700000000002</v>
      </c>
      <c r="AP196" s="10">
        <f t="shared" si="253"/>
        <v>823.8699999999999</v>
      </c>
      <c r="AR196" s="43">
        <f t="shared" si="176"/>
        <v>43070</v>
      </c>
      <c r="AS196" s="11">
        <f>AS$5+SUM(AV$5:AV195)-SUM(X$5:X196)+SUM(W$5:W196)</f>
        <v>123273.30873948839</v>
      </c>
      <c r="AT196" s="10">
        <f t="shared" si="254"/>
        <v>-47.25476835013722</v>
      </c>
      <c r="AU196" s="10">
        <f>IF(AB196=1,IF(Q196="tak",AT196,PMT(M196/12,P196+1-SUM(AB$5:AB196),AS196)),0)</f>
        <v>-546.4281540001457</v>
      </c>
      <c r="AV196" s="10">
        <f t="shared" si="186"/>
        <v>-499.17338565000847</v>
      </c>
      <c r="AW196" s="10">
        <f t="shared" si="187"/>
        <v>-1963.7534998457236</v>
      </c>
      <c r="AY196" s="11">
        <f>AY$5+SUM(BA$5:BA195)+SUM(W$5:W195)-SUM(X$5:X195)</f>
        <v>115154.4871914858</v>
      </c>
      <c r="AZ196" s="11">
        <f t="shared" si="255"/>
        <v>-47.25476835013722</v>
      </c>
      <c r="BA196" s="11">
        <f t="shared" si="256"/>
        <v>-490.02</v>
      </c>
      <c r="BB196" s="11">
        <f t="shared" si="257"/>
        <v>-537.2747683501372</v>
      </c>
      <c r="BC196" s="11">
        <f t="shared" si="177"/>
        <v>-1930.8580624967228</v>
      </c>
      <c r="BE196" s="172">
        <f t="shared" si="146"/>
        <v>0.0172</v>
      </c>
      <c r="BF196" s="44">
        <f>BE196+Podsumowanie!$E$6</f>
        <v>0.0292</v>
      </c>
      <c r="BG196" s="11">
        <f>BG$5+SUM(BH$5:BH195)+SUM(R$5:R195)-SUM(S$5:S195)</f>
        <v>317556.5476757355</v>
      </c>
      <c r="BH196" s="10">
        <f t="shared" si="258"/>
        <v>-997.5877171176195</v>
      </c>
      <c r="BI196" s="10">
        <f t="shared" si="259"/>
        <v>-772.720932677623</v>
      </c>
      <c r="BJ196" s="10">
        <f>IF(U196&lt;0,PMT(BF196/12,Podsumowanie!E$8-SUM(AB$5:AB196)+1,BG196),0)</f>
        <v>-1770.3086497952424</v>
      </c>
      <c r="BL196" s="11">
        <f>BL$5+SUM(BN$5:BN195)+SUM(R$5:R195)-SUM(S$5:S195)</f>
        <v>261838.44011142044</v>
      </c>
      <c r="BM196" s="11">
        <f t="shared" si="216"/>
        <v>-637.140204271123</v>
      </c>
      <c r="BN196" s="11">
        <f t="shared" si="217"/>
        <v>-1114.206128133704</v>
      </c>
      <c r="BO196" s="11">
        <f t="shared" si="191"/>
        <v>-1751.346332404827</v>
      </c>
      <c r="BQ196" s="44">
        <f t="shared" si="147"/>
        <v>0.0293</v>
      </c>
      <c r="BR196" s="11">
        <f>BR$5+SUM(BS$5:BS195)+SUM(R$5:R195)-SUM(S$5:S195)+SUM(BV$5:BV195)</f>
        <v>333268.7948094994</v>
      </c>
      <c r="BS196" s="10">
        <f t="shared" si="157"/>
        <v>-1045.8270928606396</v>
      </c>
      <c r="BT196" s="10">
        <f t="shared" si="158"/>
        <v>-813.7313073265277</v>
      </c>
      <c r="BU196" s="10">
        <f>IF(U196&lt;0,PMT(BQ196/12,Podsumowanie!E$8-SUM(AB$5:AB196)+1,BR196),0)</f>
        <v>-1859.5584001871673</v>
      </c>
      <c r="BV196" s="10">
        <f t="shared" si="152"/>
        <v>-225.66438830880793</v>
      </c>
      <c r="BX196" s="11">
        <f>BX$5+SUM(BZ$5:BZ195)+SUM(R$5:R195)-SUM(S$5:S195)+SUM(CB$5,CB195)</f>
        <v>261412.714695851</v>
      </c>
      <c r="BY196" s="10">
        <f t="shared" si="148"/>
        <v>-638.2827117157028</v>
      </c>
      <c r="BZ196" s="10">
        <f t="shared" si="149"/>
        <v>-1112.3945306206426</v>
      </c>
      <c r="CA196" s="10">
        <f t="shared" si="159"/>
        <v>-1750.6772423363454</v>
      </c>
      <c r="CB196" s="10">
        <f t="shared" si="160"/>
        <v>-334.5455461596298</v>
      </c>
      <c r="CD196" s="10">
        <f>CD$5+SUM(CE$5:CE195)+SUM(R$5:R195)-SUM(S$5:S195)-SUM(CF$5:CF195)</f>
        <v>307607.49841572833</v>
      </c>
      <c r="CE196" s="10">
        <f t="shared" si="153"/>
        <v>638.2827117157028</v>
      </c>
      <c r="CF196" s="10">
        <f t="shared" si="154"/>
        <v>2085.2227884959752</v>
      </c>
      <c r="CG196" s="10">
        <f t="shared" si="155"/>
        <v>1446.9400767802724</v>
      </c>
      <c r="CI196" s="44">
        <v>0.4425</v>
      </c>
      <c r="CJ196" s="10">
        <f t="shared" si="156"/>
        <v>-922.71</v>
      </c>
      <c r="CK196" s="4">
        <f t="shared" si="161"/>
        <v>0</v>
      </c>
      <c r="CM196" s="10">
        <f t="shared" si="162"/>
        <v>-264250.8122598646</v>
      </c>
      <c r="CN196" s="4">
        <f t="shared" si="163"/>
        <v>-378.7594975724726</v>
      </c>
    </row>
    <row r="197" spans="1:92" ht="15.75">
      <c r="A197" s="36">
        <v>2018</v>
      </c>
      <c r="B197" s="37">
        <v>43101</v>
      </c>
      <c r="C197" s="77">
        <f aca="true" t="shared" si="260" ref="C197:C240">VLOOKUP(B197,Kursy,C$2)</f>
        <v>3.5511</v>
      </c>
      <c r="D197" s="79">
        <f>C197*(1+Podsumowanie!E$11)</f>
        <v>3.657633</v>
      </c>
      <c r="E197" s="34">
        <f t="shared" si="239"/>
        <v>-563.3279938145834</v>
      </c>
      <c r="F197" s="7">
        <f t="shared" si="240"/>
        <v>-2060.447060000016</v>
      </c>
      <c r="G197" s="7">
        <f t="shared" si="241"/>
        <v>-1242.4683365655314</v>
      </c>
      <c r="H197" s="7">
        <f t="shared" si="242"/>
        <v>817.9787234344844</v>
      </c>
      <c r="I197" s="32"/>
      <c r="K197" s="4">
        <f>IF(B197&lt;Podsumowanie!E$7,0,K196+1)</f>
        <v>127</v>
      </c>
      <c r="L197" s="100">
        <f aca="true" t="shared" si="261" ref="L197:L240">VLOOKUP(B197,Oproc,C$2)</f>
        <v>-0.0074</v>
      </c>
      <c r="M197" s="38">
        <f>L197+Podsumowanie!E$6</f>
        <v>0.0046</v>
      </c>
      <c r="N197" s="101">
        <f>MAX(Podsumowanie!E$4+SUM(AA$5:AA196)-SUM(X$5:X197)+SUM(W$5:W197),0)</f>
        <v>126571.27356065816</v>
      </c>
      <c r="O197" s="102">
        <f>MAX(Podsumowanie!E$2+SUM(V$5:V196)-SUM(S$5:S197)+SUM(R$5:R197),0)</f>
        <v>279163.8289675577</v>
      </c>
      <c r="P197" s="39">
        <f t="shared" si="192"/>
        <v>360</v>
      </c>
      <c r="Q197" s="40" t="str">
        <f>IF(AND(K197&gt;0,K197&lt;=Podsumowanie!E$9),"tak","nie")</f>
        <v>nie</v>
      </c>
      <c r="R197" s="41"/>
      <c r="S197" s="42"/>
      <c r="T197" s="88">
        <f t="shared" si="243"/>
        <v>-107.01280110423045</v>
      </c>
      <c r="U197" s="89">
        <f>IF(Q197="tak",T197,IF(P197-SUM(AB$5:AB197)+1&gt;0,IF(Podsumowanie!E$7&lt;B197,IF(SUM(AB$5:AB197)-Podsumowanie!E$9+1&gt;0,PMT(M197/12,P197+1-SUM(AB$5:AB197),O197),T197),0),0))</f>
        <v>-1242.4683365655314</v>
      </c>
      <c r="V197" s="89">
        <f t="shared" si="244"/>
        <v>-1135.455535461301</v>
      </c>
      <c r="W197" s="90" t="str">
        <f>IF(R197&gt;0,R197/(C197*(1-Podsumowanie!E$11))," ")</f>
        <v xml:space="preserve"> </v>
      </c>
      <c r="X197" s="90">
        <f t="shared" si="150"/>
        <v>0</v>
      </c>
      <c r="Y197" s="91">
        <f t="shared" si="245"/>
        <v>-48.51898819825229</v>
      </c>
      <c r="Z197" s="90">
        <f>IF(P197-SUM(AB$5:AB197)+1&gt;0,IF(Podsumowanie!E$7&lt;B197,IF(SUM(AB$5:AB197)-Podsumowanie!E$9+1&gt;0,PMT(M197/12,P197+1-SUM(AB$5:AB197),N197),Y197),0),0)</f>
        <v>-563.3279938145834</v>
      </c>
      <c r="AA197" s="90">
        <f t="shared" si="246"/>
        <v>-514.8090056163311</v>
      </c>
      <c r="AB197" s="8">
        <f>IF(AND(Podsumowanie!E$7&lt;B197,SUM(AB$5:AB196)&lt;P196),1," ")</f>
        <v>1</v>
      </c>
      <c r="AD197" s="51">
        <f>IF(OR(B197&lt;Podsumowanie!E$12,Podsumowanie!E$12=""),-F197+S197,0)</f>
        <v>0</v>
      </c>
      <c r="AE197" s="51">
        <f t="shared" si="151"/>
        <v>563.3279938145834</v>
      </c>
      <c r="AG197" s="10">
        <f>Podsumowanie!E$4-SUM(AI$5:AI196)+SUM(W$42:W197)-SUM(X$42:X197)</f>
        <v>118210.94813555226</v>
      </c>
      <c r="AH197" s="10">
        <f t="shared" si="247"/>
        <v>45.31</v>
      </c>
      <c r="AI197" s="10">
        <f t="shared" si="248"/>
        <v>505.17</v>
      </c>
      <c r="AJ197" s="10">
        <f t="shared" si="249"/>
        <v>550.48</v>
      </c>
      <c r="AK197" s="10">
        <f t="shared" si="175"/>
        <v>2013.45</v>
      </c>
      <c r="AL197" s="10">
        <f>Podsumowanie!E$2-SUM(AN$5:AN196)+SUM(R$42:R197)-SUM(S$42:S197)</f>
        <v>260723.96999999983</v>
      </c>
      <c r="AM197" s="10">
        <f t="shared" si="250"/>
        <v>99.94</v>
      </c>
      <c r="AN197" s="10">
        <f t="shared" si="251"/>
        <v>1114.21</v>
      </c>
      <c r="AO197" s="10">
        <f t="shared" si="252"/>
        <v>1214.15</v>
      </c>
      <c r="AP197" s="10">
        <f t="shared" si="253"/>
        <v>799.3</v>
      </c>
      <c r="AR197" s="43">
        <f t="shared" si="176"/>
        <v>43101</v>
      </c>
      <c r="AS197" s="11">
        <f>AS$5+SUM(AV$5:AV196)-SUM(X$5:X197)+SUM(W$5:W197)</f>
        <v>122774.13535383838</v>
      </c>
      <c r="AT197" s="10">
        <f t="shared" si="254"/>
        <v>-47.06341855230471</v>
      </c>
      <c r="AU197" s="10">
        <f>IF(AB197=1,IF(Q197="tak",AT197,PMT(M197/12,P197+1-SUM(AB$5:AB197),AS197)),0)</f>
        <v>-546.4281540001458</v>
      </c>
      <c r="AV197" s="10">
        <f t="shared" si="186"/>
        <v>-499.3647354478411</v>
      </c>
      <c r="AW197" s="10">
        <f t="shared" si="187"/>
        <v>-1940.4210176699178</v>
      </c>
      <c r="AY197" s="11">
        <f>AY$5+SUM(BA$5:BA196)+SUM(W$5:W196)-SUM(X$5:X196)</f>
        <v>114664.46719148579</v>
      </c>
      <c r="AZ197" s="11">
        <f t="shared" si="255"/>
        <v>-47.06341855230471</v>
      </c>
      <c r="BA197" s="11">
        <f t="shared" si="256"/>
        <v>-490.02</v>
      </c>
      <c r="BB197" s="11">
        <f t="shared" si="257"/>
        <v>-537.0834185523047</v>
      </c>
      <c r="BC197" s="11">
        <f t="shared" si="177"/>
        <v>-1907.236927621089</v>
      </c>
      <c r="BE197" s="172">
        <f aca="true" t="shared" si="262" ref="BE197:BE244">VLOOKUP(B197,Oproc,5)</f>
        <v>0.0172</v>
      </c>
      <c r="BF197" s="44">
        <f>BE197+Podsumowanie!$E$6</f>
        <v>0.0292</v>
      </c>
      <c r="BG197" s="11">
        <f>BG$5+SUM(BH$5:BH196)+SUM(R$5:R196)-SUM(S$5:S196)</f>
        <v>316558.95995861787</v>
      </c>
      <c r="BH197" s="10">
        <f t="shared" si="258"/>
        <v>-1000.0151805626057</v>
      </c>
      <c r="BI197" s="10">
        <f t="shared" si="259"/>
        <v>-770.2934692326368</v>
      </c>
      <c r="BJ197" s="10">
        <f>IF(U197&lt;0,PMT(BF197/12,Podsumowanie!E$8-SUM(AB$5:AB197)+1,BG197),0)</f>
        <v>-1770.3086497952424</v>
      </c>
      <c r="BL197" s="11">
        <f>BL$5+SUM(BN$5:BN196)+SUM(R$5:R196)-SUM(S$5:S196)</f>
        <v>260724.23398328674</v>
      </c>
      <c r="BM197" s="11">
        <f t="shared" si="216"/>
        <v>-634.4289693593311</v>
      </c>
      <c r="BN197" s="11">
        <f t="shared" si="217"/>
        <v>-1114.206128133704</v>
      </c>
      <c r="BO197" s="11">
        <f t="shared" si="191"/>
        <v>-1748.6350974930351</v>
      </c>
      <c r="BQ197" s="44">
        <f aca="true" t="shared" si="263" ref="BQ197:BQ244">BE197+$BQ$4</f>
        <v>0.0293</v>
      </c>
      <c r="BR197" s="11">
        <f>BR$5+SUM(BS$5:BS196)+SUM(R$5:R196)-SUM(S$5:S196)+SUM(BV$5:BV196)</f>
        <v>331997.30332833</v>
      </c>
      <c r="BS197" s="10">
        <f t="shared" si="157"/>
        <v>-1047.6685353390976</v>
      </c>
      <c r="BT197" s="10">
        <f t="shared" si="158"/>
        <v>-810.6267489600058</v>
      </c>
      <c r="BU197" s="10">
        <f>IF(U197&lt;0,PMT(BQ197/12,Podsumowanie!E$8-SUM(AB$5:AB197)+1,BR197),0)</f>
        <v>-1858.2952842991033</v>
      </c>
      <c r="BV197" s="10">
        <f t="shared" si="152"/>
        <v>-202.1517757009126</v>
      </c>
      <c r="BX197" s="11">
        <f>BX$5+SUM(BZ$5:BZ196)+SUM(R$5:R196)-SUM(S$5:S196)+SUM(CB$5,CB196)</f>
        <v>260318.2768695344</v>
      </c>
      <c r="BY197" s="10">
        <f aca="true" t="shared" si="264" ref="BY197:BY244">IF(AB197=1,-BQ197*BX197/12,0)</f>
        <v>-635.6104593564465</v>
      </c>
      <c r="BZ197" s="10">
        <f aca="true" t="shared" si="265" ref="BZ197:BZ244">IF(AB197=1,-BX197/(P197-K197+1),0)</f>
        <v>-1112.471268673224</v>
      </c>
      <c r="CA197" s="10">
        <f t="shared" si="159"/>
        <v>-1748.0817280296706</v>
      </c>
      <c r="CB197" s="10">
        <f t="shared" si="160"/>
        <v>-312.3653319703453</v>
      </c>
      <c r="CD197" s="10">
        <f>CD$5+SUM(CE$5:CE196)+SUM(R$5:R196)-SUM(S$5:S196)-SUM(CF$5:CF196)</f>
        <v>306160.558338948</v>
      </c>
      <c r="CE197" s="10">
        <f t="shared" si="153"/>
        <v>635.6104593564465</v>
      </c>
      <c r="CF197" s="10">
        <f t="shared" si="154"/>
        <v>2060.447060000016</v>
      </c>
      <c r="CG197" s="10">
        <f t="shared" si="155"/>
        <v>1424.8366006435695</v>
      </c>
      <c r="CI197" s="44">
        <v>0.4396</v>
      </c>
      <c r="CJ197" s="10">
        <f t="shared" si="156"/>
        <v>-905.77</v>
      </c>
      <c r="CK197" s="4">
        <f t="shared" si="161"/>
        <v>0</v>
      </c>
      <c r="CM197" s="10">
        <f t="shared" si="162"/>
        <v>-266311.2593198646</v>
      </c>
      <c r="CN197" s="4">
        <f t="shared" si="163"/>
        <v>-381.7128050251393</v>
      </c>
    </row>
    <row r="198" spans="1:92" ht="15.75">
      <c r="A198" s="36"/>
      <c r="B198" s="37">
        <v>43132</v>
      </c>
      <c r="C198" s="77">
        <f t="shared" si="260"/>
        <v>3.6115</v>
      </c>
      <c r="D198" s="79">
        <f>C198*(1+Podsumowanie!E$11)</f>
        <v>3.719845</v>
      </c>
      <c r="E198" s="34">
        <f t="shared" si="239"/>
        <v>-563.3279938145834</v>
      </c>
      <c r="F198" s="7">
        <f t="shared" si="240"/>
        <v>-2095.492821151209</v>
      </c>
      <c r="G198" s="7">
        <f t="shared" si="241"/>
        <v>-1242.4683365655314</v>
      </c>
      <c r="H198" s="7">
        <f t="shared" si="242"/>
        <v>853.0244845856773</v>
      </c>
      <c r="I198" s="32"/>
      <c r="K198" s="4">
        <f>IF(B198&lt;Podsumowanie!E$7,0,K197+1)</f>
        <v>128</v>
      </c>
      <c r="L198" s="100">
        <f t="shared" si="261"/>
        <v>-0.0074</v>
      </c>
      <c r="M198" s="38">
        <f>L198+Podsumowanie!E$6</f>
        <v>0.0046</v>
      </c>
      <c r="N198" s="101">
        <f>MAX(Podsumowanie!E$4+SUM(AA$5:AA197)-SUM(X$5:X198)+SUM(W$5:W198),0)</f>
        <v>126056.46455504182</v>
      </c>
      <c r="O198" s="102">
        <f>MAX(Podsumowanie!E$2+SUM(V$5:V197)-SUM(S$5:S198)+SUM(R$5:R198),0)</f>
        <v>278028.37343209644</v>
      </c>
      <c r="P198" s="39">
        <f t="shared" si="192"/>
        <v>360</v>
      </c>
      <c r="Q198" s="40" t="str">
        <f>IF(AND(K198&gt;0,K198&lt;=Podsumowanie!E$9),"tak","nie")</f>
        <v>nie</v>
      </c>
      <c r="R198" s="41"/>
      <c r="S198" s="42"/>
      <c r="T198" s="88">
        <f t="shared" si="243"/>
        <v>-106.57754314897029</v>
      </c>
      <c r="U198" s="89">
        <f>IF(Q198="tak",T198,IF(P198-SUM(AB$5:AB198)+1&gt;0,IF(Podsumowanie!E$7&lt;B198,IF(SUM(AB$5:AB198)-Podsumowanie!E$9+1&gt;0,PMT(M198/12,P198+1-SUM(AB$5:AB198),O198),T198),0),0))</f>
        <v>-1242.4683365655314</v>
      </c>
      <c r="V198" s="89">
        <f t="shared" si="244"/>
        <v>-1135.890793416561</v>
      </c>
      <c r="W198" s="90" t="str">
        <f>IF(R198&gt;0,R198/(C198*(1-Podsumowanie!E$11))," ")</f>
        <v xml:space="preserve"> </v>
      </c>
      <c r="X198" s="90">
        <f aca="true" t="shared" si="266" ref="X198:X261">IF(S198&gt;0,S198/D198,0)</f>
        <v>0</v>
      </c>
      <c r="Y198" s="91">
        <f t="shared" si="245"/>
        <v>-48.321644746099366</v>
      </c>
      <c r="Z198" s="90">
        <f>IF(P198-SUM(AB$5:AB198)+1&gt;0,IF(Podsumowanie!E$7&lt;B198,IF(SUM(AB$5:AB198)-Podsumowanie!E$9+1&gt;0,PMT(M198/12,P198+1-SUM(AB$5:AB198),N198),Y198),0),0)</f>
        <v>-563.3279938145834</v>
      </c>
      <c r="AA198" s="90">
        <f t="shared" si="246"/>
        <v>-515.006349068484</v>
      </c>
      <c r="AB198" s="8">
        <f>IF(AND(Podsumowanie!E$7&lt;B198,SUM(AB$5:AB197)&lt;P197),1," ")</f>
        <v>1</v>
      </c>
      <c r="AD198" s="51">
        <f>IF(OR(B198&lt;Podsumowanie!E$12,Podsumowanie!E$12=""),-F198+S198,0)</f>
        <v>0</v>
      </c>
      <c r="AE198" s="51">
        <f aca="true" t="shared" si="267" ref="AE198:AE261">IF(AD198=0,-E198+X198,0)</f>
        <v>563.3279938145834</v>
      </c>
      <c r="AG198" s="10">
        <f>Podsumowanie!E$4-SUM(AI$5:AI197)+SUM(W$42:W198)-SUM(X$42:X198)</f>
        <v>117705.77813555227</v>
      </c>
      <c r="AH198" s="10">
        <f t="shared" si="247"/>
        <v>45.12</v>
      </c>
      <c r="AI198" s="10">
        <f t="shared" si="248"/>
        <v>505.18</v>
      </c>
      <c r="AJ198" s="10">
        <f t="shared" si="249"/>
        <v>550.3</v>
      </c>
      <c r="AK198" s="10">
        <f t="shared" si="175"/>
        <v>2047.03</v>
      </c>
      <c r="AL198" s="10">
        <f>Podsumowanie!E$2-SUM(AN$5:AN197)+SUM(R$42:R198)-SUM(S$42:S198)</f>
        <v>259609.75999999983</v>
      </c>
      <c r="AM198" s="10">
        <f t="shared" si="250"/>
        <v>99.52</v>
      </c>
      <c r="AN198" s="10">
        <f t="shared" si="251"/>
        <v>1114.2</v>
      </c>
      <c r="AO198" s="10">
        <f t="shared" si="252"/>
        <v>1213.72</v>
      </c>
      <c r="AP198" s="10">
        <f t="shared" si="253"/>
        <v>833.31</v>
      </c>
      <c r="AR198" s="43">
        <f t="shared" si="176"/>
        <v>43132</v>
      </c>
      <c r="AS198" s="11">
        <f>AS$5+SUM(AV$5:AV197)-SUM(X$5:X198)+SUM(W$5:W198)</f>
        <v>122274.77061839055</v>
      </c>
      <c r="AT198" s="10">
        <f t="shared" si="254"/>
        <v>-46.871995403716376</v>
      </c>
      <c r="AU198" s="10">
        <f>IF(AB198=1,IF(Q198="tak",AT198,PMT(M198/12,P198+1-SUM(AB$5:AB198),AS198)),0)</f>
        <v>-546.4281540001458</v>
      </c>
      <c r="AV198" s="10">
        <f t="shared" si="186"/>
        <v>-499.55615859642944</v>
      </c>
      <c r="AW198" s="10">
        <f t="shared" si="187"/>
        <v>-1973.4252781715265</v>
      </c>
      <c r="AY198" s="11">
        <f>AY$5+SUM(BA$5:BA197)+SUM(W$5:W197)-SUM(X$5:X197)</f>
        <v>114174.44719148579</v>
      </c>
      <c r="AZ198" s="11">
        <f t="shared" si="255"/>
        <v>-46.871995403716376</v>
      </c>
      <c r="BA198" s="11">
        <f t="shared" si="256"/>
        <v>-490.02</v>
      </c>
      <c r="BB198" s="11">
        <f t="shared" si="257"/>
        <v>-536.8919954037164</v>
      </c>
      <c r="BC198" s="11">
        <f t="shared" si="177"/>
        <v>-1938.9854414005215</v>
      </c>
      <c r="BE198" s="172">
        <f t="shared" si="262"/>
        <v>0.0172</v>
      </c>
      <c r="BF198" s="44">
        <f>BE198+Podsumowanie!$E$6</f>
        <v>0.0292</v>
      </c>
      <c r="BG198" s="11">
        <f>BG$5+SUM(BH$5:BH197)+SUM(R$5:R197)-SUM(S$5:S197)</f>
        <v>315558.94477805524</v>
      </c>
      <c r="BH198" s="10">
        <f t="shared" si="258"/>
        <v>-1002.448550835308</v>
      </c>
      <c r="BI198" s="10">
        <f t="shared" si="259"/>
        <v>-767.8600989599345</v>
      </c>
      <c r="BJ198" s="10">
        <f>IF(U198&lt;0,PMT(BF198/12,Podsumowanie!E$8-SUM(AB$5:AB198)+1,BG198),0)</f>
        <v>-1770.3086497952424</v>
      </c>
      <c r="BL198" s="11">
        <f>BL$5+SUM(BN$5:BN197)+SUM(R$5:R197)-SUM(S$5:S197)</f>
        <v>259610.02785515305</v>
      </c>
      <c r="BM198" s="11">
        <f t="shared" si="216"/>
        <v>-631.7177344475391</v>
      </c>
      <c r="BN198" s="11">
        <f t="shared" si="217"/>
        <v>-1114.2061281337042</v>
      </c>
      <c r="BO198" s="11">
        <f t="shared" si="191"/>
        <v>-1745.9238625812432</v>
      </c>
      <c r="BQ198" s="44">
        <f t="shared" si="263"/>
        <v>0.0293</v>
      </c>
      <c r="BR198" s="11">
        <f>BR$5+SUM(BS$5:BS197)+SUM(R$5:R197)-SUM(S$5:S197)+SUM(BV$5:BV197)</f>
        <v>330747.48301729</v>
      </c>
      <c r="BS198" s="10">
        <f t="shared" si="157"/>
        <v>-1049.585089718741</v>
      </c>
      <c r="BT198" s="10">
        <f t="shared" si="158"/>
        <v>-807.5751043672163</v>
      </c>
      <c r="BU198" s="10">
        <f>IF(U198&lt;0,PMT(BQ198/12,Podsumowanie!E$8-SUM(AB$5:AB198)+1,BR198),0)</f>
        <v>-1857.1601940859575</v>
      </c>
      <c r="BV198" s="10">
        <f aca="true" t="shared" si="268" ref="BV198:BV244">F198-BU198</f>
        <v>-238.33262706525124</v>
      </c>
      <c r="BX198" s="11">
        <f>BX$5+SUM(BZ$5:BZ197)+SUM(R$5:R197)-SUM(S$5:S197)+SUM(CB$5,CB197)</f>
        <v>259227.98581505046</v>
      </c>
      <c r="BY198" s="10">
        <f t="shared" si="264"/>
        <v>-632.9483320317482</v>
      </c>
      <c r="BZ198" s="10">
        <f t="shared" si="265"/>
        <v>-1112.5664627255385</v>
      </c>
      <c r="CA198" s="10">
        <f t="shared" si="159"/>
        <v>-1745.5147947572868</v>
      </c>
      <c r="CB198" s="10">
        <f t="shared" si="160"/>
        <v>-349.97802639392194</v>
      </c>
      <c r="CD198" s="10">
        <f>CD$5+SUM(CE$5:CE197)+SUM(R$5:R197)-SUM(S$5:S197)-SUM(CF$5:CF197)</f>
        <v>304735.7217383044</v>
      </c>
      <c r="CE198" s="10">
        <f aca="true" t="shared" si="269" ref="CE198:CE247">IF(AB198=1,BQ198*BX198/12,0)</f>
        <v>632.9483320317482</v>
      </c>
      <c r="CF198" s="10">
        <f aca="true" t="shared" si="270" ref="CF198:CF247">-F198</f>
        <v>2095.492821151209</v>
      </c>
      <c r="CG198" s="10">
        <f aca="true" t="shared" si="271" ref="CG198:CG247">CF198-CE198</f>
        <v>1462.5444891194606</v>
      </c>
      <c r="CI198" s="44">
        <v>0.4353</v>
      </c>
      <c r="CJ198" s="10">
        <f aca="true" t="shared" si="272" ref="CJ198:CJ257">ROUND(CI198*(F198-S198),2)</f>
        <v>-912.17</v>
      </c>
      <c r="CK198" s="4">
        <f t="shared" si="161"/>
        <v>0</v>
      </c>
      <c r="CM198" s="10">
        <f t="shared" si="162"/>
        <v>-268406.75214101584</v>
      </c>
      <c r="CN198" s="4">
        <f t="shared" si="163"/>
        <v>-384.716344735456</v>
      </c>
    </row>
    <row r="199" spans="1:92" ht="15.75">
      <c r="A199" s="36"/>
      <c r="B199" s="37">
        <v>43160</v>
      </c>
      <c r="C199" s="77">
        <f t="shared" si="260"/>
        <v>3.6062</v>
      </c>
      <c r="D199" s="79">
        <f>C199*(1+Podsumowanie!E$11)</f>
        <v>3.7143859999999997</v>
      </c>
      <c r="E199" s="34">
        <f t="shared" si="239"/>
        <v>-563.3279938145834</v>
      </c>
      <c r="F199" s="7">
        <f t="shared" si="240"/>
        <v>-2092.4176136329747</v>
      </c>
      <c r="G199" s="7">
        <f t="shared" si="241"/>
        <v>-1242.4683365655314</v>
      </c>
      <c r="H199" s="7">
        <f t="shared" si="242"/>
        <v>849.9492770674433</v>
      </c>
      <c r="I199" s="32"/>
      <c r="K199" s="4">
        <f>IF(B199&lt;Podsumowanie!E$7,0,K198+1)</f>
        <v>129</v>
      </c>
      <c r="L199" s="100">
        <f t="shared" si="261"/>
        <v>-0.0074</v>
      </c>
      <c r="M199" s="38">
        <f>L199+Podsumowanie!E$6</f>
        <v>0.0046</v>
      </c>
      <c r="N199" s="101">
        <f>MAX(Podsumowanie!E$4+SUM(AA$5:AA198)-SUM(X$5:X199)+SUM(W$5:W199),0)</f>
        <v>125541.45820597334</v>
      </c>
      <c r="O199" s="102">
        <f>MAX(Podsumowanie!E$2+SUM(V$5:V198)-SUM(S$5:S199)+SUM(R$5:R199),0)</f>
        <v>276892.48263867985</v>
      </c>
      <c r="P199" s="39">
        <f t="shared" si="192"/>
        <v>360</v>
      </c>
      <c r="Q199" s="40" t="str">
        <f>IF(AND(K199&gt;0,K199&lt;=Podsumowanie!E$9),"tak","nie")</f>
        <v>nie</v>
      </c>
      <c r="R199" s="41"/>
      <c r="S199" s="42"/>
      <c r="T199" s="88">
        <f t="shared" si="243"/>
        <v>-106.14211834482728</v>
      </c>
      <c r="U199" s="89">
        <f>IF(Q199="tak",T199,IF(P199-SUM(AB$5:AB199)+1&gt;0,IF(Podsumowanie!E$7&lt;B199,IF(SUM(AB$5:AB199)-Podsumowanie!E$9+1&gt;0,PMT(M199/12,P199+1-SUM(AB$5:AB199),O199),T199),0),0))</f>
        <v>-1242.4683365655314</v>
      </c>
      <c r="V199" s="89">
        <f t="shared" si="244"/>
        <v>-1136.326218220704</v>
      </c>
      <c r="W199" s="90" t="str">
        <f>IF(R199&gt;0,R199/(C199*(1-Podsumowanie!E$11))," ")</f>
        <v xml:space="preserve"> </v>
      </c>
      <c r="X199" s="90">
        <f t="shared" si="266"/>
        <v>0</v>
      </c>
      <c r="Y199" s="91">
        <f t="shared" si="245"/>
        <v>-48.12422564562311</v>
      </c>
      <c r="Z199" s="90">
        <f>IF(P199-SUM(AB$5:AB199)+1&gt;0,IF(Podsumowanie!E$7&lt;B199,IF(SUM(AB$5:AB199)-Podsumowanie!E$9+1&gt;0,PMT(M199/12,P199+1-SUM(AB$5:AB199),N199),Y199),0),0)</f>
        <v>-563.3279938145834</v>
      </c>
      <c r="AA199" s="90">
        <f t="shared" si="246"/>
        <v>-515.2037681689602</v>
      </c>
      <c r="AB199" s="8">
        <f>IF(AND(Podsumowanie!E$7&lt;B199,SUM(AB$5:AB198)&lt;P198),1," ")</f>
        <v>1</v>
      </c>
      <c r="AD199" s="51">
        <f>IF(OR(B199&lt;Podsumowanie!E$12,Podsumowanie!E$12=""),-F199+S199,0)</f>
        <v>0</v>
      </c>
      <c r="AE199" s="51">
        <f t="shared" si="267"/>
        <v>563.3279938145834</v>
      </c>
      <c r="AG199" s="10">
        <f>Podsumowanie!E$4-SUM(AI$5:AI198)+SUM(W$42:W199)-SUM(X$42:X199)</f>
        <v>117200.59813555227</v>
      </c>
      <c r="AH199" s="10">
        <f t="shared" si="247"/>
        <v>44.93</v>
      </c>
      <c r="AI199" s="10">
        <f t="shared" si="248"/>
        <v>505.17</v>
      </c>
      <c r="AJ199" s="10">
        <f t="shared" si="249"/>
        <v>550.1</v>
      </c>
      <c r="AK199" s="10">
        <f t="shared" si="175"/>
        <v>2043.28</v>
      </c>
      <c r="AL199" s="10">
        <f>Podsumowanie!E$2-SUM(AN$5:AN198)+SUM(R$42:R199)-SUM(S$42:S199)</f>
        <v>258495.55999999982</v>
      </c>
      <c r="AM199" s="10">
        <f t="shared" si="250"/>
        <v>99.09</v>
      </c>
      <c r="AN199" s="10">
        <f t="shared" si="251"/>
        <v>1114.21</v>
      </c>
      <c r="AO199" s="10">
        <f t="shared" si="252"/>
        <v>1213.3</v>
      </c>
      <c r="AP199" s="10">
        <f t="shared" si="253"/>
        <v>829.98</v>
      </c>
      <c r="AR199" s="43">
        <f t="shared" si="176"/>
        <v>43160</v>
      </c>
      <c r="AS199" s="11">
        <f>AS$5+SUM(AV$5:AV198)-SUM(X$5:X199)+SUM(W$5:W199)</f>
        <v>121775.21445979412</v>
      </c>
      <c r="AT199" s="10">
        <f t="shared" si="254"/>
        <v>-46.68049887625441</v>
      </c>
      <c r="AU199" s="10">
        <f>IF(AB199=1,IF(Q199="tak",AT199,PMT(M199/12,P199+1-SUM(AB$5:AB199),AS199)),0)</f>
        <v>-546.4281540001458</v>
      </c>
      <c r="AV199" s="10">
        <f t="shared" si="186"/>
        <v>-499.7476551238914</v>
      </c>
      <c r="AW199" s="10">
        <f t="shared" si="187"/>
        <v>-1970.5292089553257</v>
      </c>
      <c r="AY199" s="11">
        <f>AY$5+SUM(BA$5:BA198)+SUM(W$5:W198)-SUM(X$5:X198)</f>
        <v>113684.4271914858</v>
      </c>
      <c r="AZ199" s="11">
        <f t="shared" si="255"/>
        <v>-46.68049887625441</v>
      </c>
      <c r="BA199" s="11">
        <f t="shared" si="256"/>
        <v>-490.02</v>
      </c>
      <c r="BB199" s="11">
        <f t="shared" si="257"/>
        <v>-536.7004988762544</v>
      </c>
      <c r="BC199" s="11">
        <f t="shared" si="177"/>
        <v>-1935.4493390475486</v>
      </c>
      <c r="BE199" s="172">
        <f t="shared" si="262"/>
        <v>0.0171</v>
      </c>
      <c r="BF199" s="44">
        <f>BE199+Podsumowanie!$E$6</f>
        <v>0.0291</v>
      </c>
      <c r="BG199" s="11">
        <f>BG$5+SUM(BH$5:BH198)+SUM(R$5:R198)-SUM(S$5:S198)</f>
        <v>314556.49622721993</v>
      </c>
      <c r="BH199" s="10">
        <f t="shared" si="258"/>
        <v>-1005.9486476350471</v>
      </c>
      <c r="BI199" s="10">
        <f t="shared" si="259"/>
        <v>-762.7995033510083</v>
      </c>
      <c r="BJ199" s="10">
        <f>IF(U199&lt;0,PMT(BF199/12,Podsumowanie!E$8-SUM(AB$5:AB199)+1,BG199),0)</f>
        <v>-1768.7481509860554</v>
      </c>
      <c r="BL199" s="11">
        <f>BL$5+SUM(BN$5:BN198)+SUM(R$5:R198)-SUM(S$5:S198)</f>
        <v>258495.82172701936</v>
      </c>
      <c r="BM199" s="11">
        <f t="shared" si="216"/>
        <v>-626.8523676880219</v>
      </c>
      <c r="BN199" s="11">
        <f t="shared" si="217"/>
        <v>-1114.2061281337042</v>
      </c>
      <c r="BO199" s="11">
        <f t="shared" si="191"/>
        <v>-1741.058495821726</v>
      </c>
      <c r="BQ199" s="44">
        <f t="shared" si="263"/>
        <v>0.0292</v>
      </c>
      <c r="BR199" s="11">
        <f>BR$5+SUM(BS$5:BS198)+SUM(R$5:R198)-SUM(S$5:S198)+SUM(BV$5:BV198)</f>
        <v>329459.56530050596</v>
      </c>
      <c r="BS199" s="10">
        <f aca="true" t="shared" si="273" ref="BS199:BS240">IF(BU199&lt;0,BU199-BT199,0)</f>
        <v>-1052.4974549047001</v>
      </c>
      <c r="BT199" s="10">
        <f aca="true" t="shared" si="274" ref="BT199:BT240">IF(BU199&lt;0,-BR199*BQ199/12,0)</f>
        <v>-801.6849422312312</v>
      </c>
      <c r="BU199" s="10">
        <f>IF(U199&lt;0,PMT(BQ199/12,Podsumowanie!E$8-SUM(AB$5:AB199)+1,BR199),0)</f>
        <v>-1854.1823971359313</v>
      </c>
      <c r="BV199" s="10">
        <f t="shared" si="268"/>
        <v>-238.23521649704344</v>
      </c>
      <c r="BX199" s="11">
        <f>BX$5+SUM(BZ$5:BZ198)+SUM(R$5:R198)-SUM(S$5:S198)+SUM(CB$5,CB198)</f>
        <v>258077.80665790135</v>
      </c>
      <c r="BY199" s="10">
        <f t="shared" si="264"/>
        <v>-627.9893295342266</v>
      </c>
      <c r="BZ199" s="10">
        <f t="shared" si="265"/>
        <v>-1112.4043390426782</v>
      </c>
      <c r="CA199" s="10">
        <f aca="true" t="shared" si="275" ref="CA199:CA240">BZ199+BY199</f>
        <v>-1740.393668576905</v>
      </c>
      <c r="CB199" s="10">
        <f aca="true" t="shared" si="276" ref="CB199:CB241">$F199-CA199</f>
        <v>-352.0239450560698</v>
      </c>
      <c r="CD199" s="10">
        <f>CD$5+SUM(CE$5:CE198)+SUM(R$5:R198)-SUM(S$5:S198)-SUM(CF$5:CF198)</f>
        <v>303273.1772491849</v>
      </c>
      <c r="CE199" s="10">
        <f t="shared" si="269"/>
        <v>627.9893295342266</v>
      </c>
      <c r="CF199" s="10">
        <f t="shared" si="270"/>
        <v>2092.4176136329747</v>
      </c>
      <c r="CG199" s="10">
        <f t="shared" si="271"/>
        <v>1464.428284098748</v>
      </c>
      <c r="CI199" s="44">
        <v>0.4382</v>
      </c>
      <c r="CJ199" s="10">
        <f t="shared" si="272"/>
        <v>-916.9</v>
      </c>
      <c r="CK199" s="4">
        <f aca="true" t="shared" si="277" ref="CK199:CK257">ROUND(R199*CI199,2)</f>
        <v>0</v>
      </c>
      <c r="CM199" s="10">
        <f aca="true" t="shared" si="278" ref="CM199:CM261">F199+S199+CM198</f>
        <v>-270499.1697546488</v>
      </c>
      <c r="CN199" s="4">
        <f aca="true" t="shared" si="279" ref="CN199:CN261">CM199*BE199/12</f>
        <v>-385.4613169003746</v>
      </c>
    </row>
    <row r="200" spans="1:92" ht="15.75">
      <c r="A200" s="36"/>
      <c r="B200" s="37">
        <v>43191</v>
      </c>
      <c r="C200" s="77">
        <f t="shared" si="260"/>
        <v>3.5305</v>
      </c>
      <c r="D200" s="79">
        <f>C200*(1+Podsumowanie!E$11)</f>
        <v>3.636415</v>
      </c>
      <c r="E200" s="34">
        <f aca="true" t="shared" si="280" ref="E200:E206">Z200</f>
        <v>-563.3279938145834</v>
      </c>
      <c r="F200" s="7">
        <f aca="true" t="shared" si="281" ref="F200:F206">E200*D200</f>
        <v>-2048.494366627258</v>
      </c>
      <c r="G200" s="7">
        <f aca="true" t="shared" si="282" ref="G200:G206">U200</f>
        <v>-1242.4683365655314</v>
      </c>
      <c r="H200" s="7">
        <f aca="true" t="shared" si="283" ref="H200:H206">G200-F200</f>
        <v>806.0260300617265</v>
      </c>
      <c r="I200" s="32"/>
      <c r="K200" s="4">
        <f>IF(B200&lt;Podsumowanie!E$7,0,K199+1)</f>
        <v>130</v>
      </c>
      <c r="L200" s="100">
        <f t="shared" si="261"/>
        <v>-0.0074</v>
      </c>
      <c r="M200" s="38">
        <f>L200+Podsumowanie!E$6</f>
        <v>0.0046</v>
      </c>
      <c r="N200" s="101">
        <f>MAX(Podsumowanie!E$4+SUM(AA$5:AA199)-SUM(X$5:X200)+SUM(W$5:W200),0)</f>
        <v>125026.25443780437</v>
      </c>
      <c r="O200" s="102">
        <f>MAX(Podsumowanie!E$2+SUM(V$5:V199)-SUM(S$5:S200)+SUM(R$5:R200),0)</f>
        <v>275756.15642045916</v>
      </c>
      <c r="P200" s="39">
        <f t="shared" si="192"/>
        <v>360</v>
      </c>
      <c r="Q200" s="40" t="str">
        <f>IF(AND(K200&gt;0,K200&lt;=Podsumowanie!E$9),"tak","nie")</f>
        <v>nie</v>
      </c>
      <c r="R200" s="41"/>
      <c r="S200" s="42"/>
      <c r="T200" s="88">
        <f aca="true" t="shared" si="284" ref="T200:T206">IF(AB200=1,-O200*M200/12,0)</f>
        <v>-105.70652662784268</v>
      </c>
      <c r="U200" s="89">
        <f>IF(Q200="tak",T200,IF(P200-SUM(AB$5:AB200)+1&gt;0,IF(Podsumowanie!E$7&lt;B200,IF(SUM(AB$5:AB200)-Podsumowanie!E$9+1&gt;0,PMT(M200/12,P200+1-SUM(AB$5:AB200),O200),T200),0),0))</f>
        <v>-1242.4683365655314</v>
      </c>
      <c r="V200" s="89">
        <f aca="true" t="shared" si="285" ref="V200:V206">U200-T200</f>
        <v>-1136.7618099376887</v>
      </c>
      <c r="W200" s="90" t="str">
        <f>IF(R200&gt;0,R200/(C200*(1-Podsumowanie!E$11))," ")</f>
        <v xml:space="preserve"> </v>
      </c>
      <c r="X200" s="90">
        <f t="shared" si="266"/>
        <v>0</v>
      </c>
      <c r="Y200" s="91">
        <f aca="true" t="shared" si="286" ref="Y200:Y206">IF(AB200=1,-N200*M200/12,0)</f>
        <v>-47.92673086782501</v>
      </c>
      <c r="Z200" s="90">
        <f>IF(P200-SUM(AB$5:AB200)+1&gt;0,IF(Podsumowanie!E$7&lt;B200,IF(SUM(AB$5:AB200)-Podsumowanie!E$9+1&gt;0,PMT(M200/12,P200+1-SUM(AB$5:AB200),N200),Y200),0),0)</f>
        <v>-563.3279938145834</v>
      </c>
      <c r="AA200" s="90">
        <f aca="true" t="shared" si="287" ref="AA200:AA206">Z200-Y200</f>
        <v>-515.4012629467584</v>
      </c>
      <c r="AB200" s="8">
        <f>IF(AND(Podsumowanie!E$7&lt;B200,SUM(AB$5:AB199)&lt;P199),1," ")</f>
        <v>1</v>
      </c>
      <c r="AD200" s="51">
        <f>IF(OR(B200&lt;Podsumowanie!E$12,Podsumowanie!E$12=""),-F200+S200,0)</f>
        <v>0</v>
      </c>
      <c r="AE200" s="51">
        <f t="shared" si="267"/>
        <v>563.3279938145834</v>
      </c>
      <c r="AG200" s="10">
        <f>Podsumowanie!E$4-SUM(AI$5:AI199)+SUM(W$42:W200)-SUM(X$42:X200)</f>
        <v>116695.42813555227</v>
      </c>
      <c r="AH200" s="10">
        <f aca="true" t="shared" si="288" ref="AH200:AH206">IF(AB200=1,ROUND(AG200*M200/12,2),0)</f>
        <v>44.73</v>
      </c>
      <c r="AI200" s="10">
        <f aca="true" t="shared" si="289" ref="AI200:AI206">IF(Q200="tak",0,IF(AB200=1,ROUND(AG200/(P200-K200+1),2),0))</f>
        <v>505.18</v>
      </c>
      <c r="AJ200" s="10">
        <f aca="true" t="shared" si="290" ref="AJ200:AJ206">AI200+AH200</f>
        <v>549.91</v>
      </c>
      <c r="AK200" s="10">
        <f t="shared" si="175"/>
        <v>1999.7</v>
      </c>
      <c r="AL200" s="10">
        <f>Podsumowanie!E$2-SUM(AN$5:AN199)+SUM(R$42:R200)-SUM(S$42:S200)</f>
        <v>257381.34999999983</v>
      </c>
      <c r="AM200" s="10">
        <f aca="true" t="shared" si="291" ref="AM200:AM206">IF(AB200=1,ROUND(AL200*M200/12,2),0)</f>
        <v>98.66</v>
      </c>
      <c r="AN200" s="10">
        <f aca="true" t="shared" si="292" ref="AN200:AN206">IF(Q200="tak",0,IF(AB200=1,ROUND(AL200/(P200-K200+1),2),0))</f>
        <v>1114.2</v>
      </c>
      <c r="AO200" s="10">
        <f aca="true" t="shared" si="293" ref="AO200:AO206">AN200+AM200</f>
        <v>1212.8600000000001</v>
      </c>
      <c r="AP200" s="10">
        <f aca="true" t="shared" si="294" ref="AP200:AP206">AK200-AO200</f>
        <v>786.8399999999999</v>
      </c>
      <c r="AR200" s="43">
        <f t="shared" si="176"/>
        <v>43191</v>
      </c>
      <c r="AS200" s="11">
        <f>AS$5+SUM(AV$5:AV199)-SUM(X$5:X200)+SUM(W$5:W200)</f>
        <v>121275.46680467023</v>
      </c>
      <c r="AT200" s="10">
        <f aca="true" t="shared" si="295" ref="AT200:AT206">IF(AB200=1,-AS200*M200/12,0)</f>
        <v>-46.48892894179025</v>
      </c>
      <c r="AU200" s="10">
        <f>IF(AB200=1,IF(Q200="tak",AT200,PMT(M200/12,P200+1-SUM(AB$5:AB200),AS200)),0)</f>
        <v>-546.4281540001458</v>
      </c>
      <c r="AV200" s="10">
        <f t="shared" si="186"/>
        <v>-499.93922505835553</v>
      </c>
      <c r="AW200" s="10">
        <f t="shared" si="187"/>
        <v>-1929.1645976975149</v>
      </c>
      <c r="AY200" s="11">
        <f>AY$5+SUM(BA$5:BA199)+SUM(W$5:W199)-SUM(X$5:X199)</f>
        <v>113194.4071914858</v>
      </c>
      <c r="AZ200" s="11">
        <f aca="true" t="shared" si="296" ref="AZ200:AZ206">IF(AB200=1,-AS200*M200/12,0)</f>
        <v>-46.48892894179025</v>
      </c>
      <c r="BA200" s="11">
        <f aca="true" t="shared" si="297" ref="BA200:BA206">IF(AB200=1,IF(Q200="tak",0,ROUND(-AY200/(P200-K200+1),2)),0)</f>
        <v>-490.02</v>
      </c>
      <c r="BB200" s="11">
        <f aca="true" t="shared" si="298" ref="BB200:BB206">BA200+AZ200</f>
        <v>-536.5089289417903</v>
      </c>
      <c r="BC200" s="11">
        <f t="shared" si="177"/>
        <v>-1894.1447736289906</v>
      </c>
      <c r="BE200" s="172">
        <f t="shared" si="262"/>
        <v>0.017</v>
      </c>
      <c r="BF200" s="44">
        <f>BE200+Podsumowanie!$E$6</f>
        <v>0.029</v>
      </c>
      <c r="BG200" s="11">
        <f>BG$5+SUM(BH$5:BH199)+SUM(R$5:R199)-SUM(S$5:S199)</f>
        <v>313550.5475795849</v>
      </c>
      <c r="BH200" s="10">
        <f aca="true" t="shared" si="299" ref="BH200:BH206">IF(BJ200&lt;0,BJ200-BI200,0)</f>
        <v>-1009.4472976958688</v>
      </c>
      <c r="BI200" s="10">
        <f aca="true" t="shared" si="300" ref="BI200:BI206">IF(BJ200&lt;0,-BG200*BF200/12,0)</f>
        <v>-757.7471566506634</v>
      </c>
      <c r="BJ200" s="10">
        <f>IF(U200&lt;0,PMT(BF200/12,Podsumowanie!E$8-SUM(AB$5:AB200)+1,BG200),0)</f>
        <v>-1767.1944543465322</v>
      </c>
      <c r="BL200" s="11">
        <f>BL$5+SUM(BN$5:BN199)+SUM(R$5:R199)-SUM(S$5:S199)</f>
        <v>257381.61559888566</v>
      </c>
      <c r="BM200" s="11">
        <f t="shared" si="216"/>
        <v>-622.0055710306405</v>
      </c>
      <c r="BN200" s="11">
        <f t="shared" si="217"/>
        <v>-1114.2061281337042</v>
      </c>
      <c r="BO200" s="11">
        <f t="shared" si="191"/>
        <v>-1736.2116991643447</v>
      </c>
      <c r="BQ200" s="44">
        <f t="shared" si="263"/>
        <v>0.0291</v>
      </c>
      <c r="BR200" s="11">
        <f>BR$5+SUM(BS$5:BS199)+SUM(R$5:R199)-SUM(S$5:S199)+SUM(BV$5:BV199)</f>
        <v>328168.83262910426</v>
      </c>
      <c r="BS200" s="10">
        <f t="shared" si="273"/>
        <v>-1055.4009212953783</v>
      </c>
      <c r="BT200" s="10">
        <f t="shared" si="274"/>
        <v>-795.8094191255778</v>
      </c>
      <c r="BU200" s="10">
        <f>IF(U200&lt;0,PMT(BQ200/12,Podsumowanie!E$8-SUM(AB$5:AB200)+1,BR200),0)</f>
        <v>-1851.210340420956</v>
      </c>
      <c r="BV200" s="10">
        <f t="shared" si="268"/>
        <v>-197.28402620630186</v>
      </c>
      <c r="BX200" s="11">
        <f>BX$5+SUM(BZ$5:BZ199)+SUM(R$5:R199)-SUM(S$5:S199)+SUM(CB$5,CB199)</f>
        <v>256963.35640019653</v>
      </c>
      <c r="BY200" s="10">
        <f t="shared" si="264"/>
        <v>-623.1361392704766</v>
      </c>
      <c r="BZ200" s="10">
        <f t="shared" si="265"/>
        <v>-1112.3954822519331</v>
      </c>
      <c r="CA200" s="10">
        <f t="shared" si="275"/>
        <v>-1735.5316215224098</v>
      </c>
      <c r="CB200" s="10">
        <f t="shared" si="276"/>
        <v>-312.9627451048482</v>
      </c>
      <c r="CD200" s="10">
        <f>CD$5+SUM(CE$5:CE199)+SUM(R$5:R199)-SUM(S$5:S199)-SUM(CF$5:CF199)</f>
        <v>301808.7489650862</v>
      </c>
      <c r="CE200" s="10">
        <f t="shared" si="269"/>
        <v>623.1361392704766</v>
      </c>
      <c r="CF200" s="10">
        <f t="shared" si="270"/>
        <v>2048.494366627258</v>
      </c>
      <c r="CG200" s="10">
        <f t="shared" si="271"/>
        <v>1425.3582273567813</v>
      </c>
      <c r="CI200" s="44">
        <v>0.4396</v>
      </c>
      <c r="CJ200" s="10">
        <f t="shared" si="272"/>
        <v>-900.52</v>
      </c>
      <c r="CK200" s="4">
        <f t="shared" si="277"/>
        <v>0</v>
      </c>
      <c r="CM200" s="10">
        <f t="shared" si="278"/>
        <v>-272547.66412127606</v>
      </c>
      <c r="CN200" s="4">
        <f t="shared" si="279"/>
        <v>-386.10919083847443</v>
      </c>
    </row>
    <row r="201" spans="1:92" ht="15.75">
      <c r="A201" s="36"/>
      <c r="B201" s="37">
        <v>43221</v>
      </c>
      <c r="C201" s="77">
        <f t="shared" si="260"/>
        <v>3.6283</v>
      </c>
      <c r="D201" s="79">
        <f>C201*(1+Podsumowanie!E$11)</f>
        <v>3.737149</v>
      </c>
      <c r="E201" s="34">
        <f t="shared" si="280"/>
        <v>-563.3279938145834</v>
      </c>
      <c r="F201" s="7">
        <f t="shared" si="281"/>
        <v>-2105.2406487561766</v>
      </c>
      <c r="G201" s="7">
        <f t="shared" si="282"/>
        <v>-1242.4683365655314</v>
      </c>
      <c r="H201" s="7">
        <f t="shared" si="283"/>
        <v>862.7723121906452</v>
      </c>
      <c r="I201" s="32"/>
      <c r="K201" s="4">
        <f>IF(B201&lt;Podsumowanie!E$7,0,K200+1)</f>
        <v>131</v>
      </c>
      <c r="L201" s="100">
        <f t="shared" si="261"/>
        <v>-0.0074</v>
      </c>
      <c r="M201" s="38">
        <f>L201+Podsumowanie!E$6</f>
        <v>0.0046</v>
      </c>
      <c r="N201" s="101">
        <f>MAX(Podsumowanie!E$4+SUM(AA$5:AA200)-SUM(X$5:X201)+SUM(W$5:W201),0)</f>
        <v>124510.85317485762</v>
      </c>
      <c r="O201" s="102">
        <f>MAX(Podsumowanie!E$2+SUM(V$5:V200)-SUM(S$5:S201)+SUM(R$5:R201),0)</f>
        <v>274619.39461052144</v>
      </c>
      <c r="P201" s="39">
        <f t="shared" si="192"/>
        <v>360</v>
      </c>
      <c r="Q201" s="40" t="str">
        <f>IF(AND(K201&gt;0,K201&lt;=Podsumowanie!E$9),"tak","nie")</f>
        <v>nie</v>
      </c>
      <c r="R201" s="41"/>
      <c r="S201" s="42"/>
      <c r="T201" s="88">
        <f t="shared" si="284"/>
        <v>-105.27076793403323</v>
      </c>
      <c r="U201" s="89">
        <f>IF(Q201="tak",T201,IF(P201-SUM(AB$5:AB201)+1&gt;0,IF(Podsumowanie!E$7&lt;B201,IF(SUM(AB$5:AB201)-Podsumowanie!E$9+1&gt;0,PMT(M201/12,P201+1-SUM(AB$5:AB201),O201),T201),0),0))</f>
        <v>-1242.4683365655314</v>
      </c>
      <c r="V201" s="89">
        <f t="shared" si="285"/>
        <v>-1137.1975686314981</v>
      </c>
      <c r="W201" s="90" t="str">
        <f>IF(R201&gt;0,R201/(C201*(1-Podsumowanie!E$11))," ")</f>
        <v xml:space="preserve"> </v>
      </c>
      <c r="X201" s="90">
        <f t="shared" si="266"/>
        <v>0</v>
      </c>
      <c r="Y201" s="91">
        <f t="shared" si="286"/>
        <v>-47.72916038369542</v>
      </c>
      <c r="Z201" s="90">
        <f>IF(P201-SUM(AB$5:AB201)+1&gt;0,IF(Podsumowanie!E$7&lt;B201,IF(SUM(AB$5:AB201)-Podsumowanie!E$9+1&gt;0,PMT(M201/12,P201+1-SUM(AB$5:AB201),N201),Y201),0),0)</f>
        <v>-563.3279938145834</v>
      </c>
      <c r="AA201" s="90">
        <f t="shared" si="287"/>
        <v>-515.5988334308879</v>
      </c>
      <c r="AB201" s="8">
        <f>IF(AND(Podsumowanie!E$7&lt;B201,SUM(AB$5:AB200)&lt;P200),1," ")</f>
        <v>1</v>
      </c>
      <c r="AD201" s="51">
        <f>IF(OR(B201&lt;Podsumowanie!E$12,Podsumowanie!E$12=""),-F201+S201,0)</f>
        <v>0</v>
      </c>
      <c r="AE201" s="51">
        <f t="shared" si="267"/>
        <v>563.3279938145834</v>
      </c>
      <c r="AG201" s="10">
        <f>Podsumowanie!E$4-SUM(AI$5:AI200)+SUM(W$42:W201)-SUM(X$42:X201)</f>
        <v>116190.24813555228</v>
      </c>
      <c r="AH201" s="10">
        <f t="shared" si="288"/>
        <v>44.54</v>
      </c>
      <c r="AI201" s="10">
        <f t="shared" si="289"/>
        <v>505.17</v>
      </c>
      <c r="AJ201" s="10">
        <f t="shared" si="290"/>
        <v>549.71</v>
      </c>
      <c r="AK201" s="10">
        <f aca="true" t="shared" si="301" ref="AK201:AK220">ROUND(AJ201*D201,2)</f>
        <v>2054.35</v>
      </c>
      <c r="AL201" s="10">
        <f>Podsumowanie!E$2-SUM(AN$5:AN200)+SUM(R$42:R201)-SUM(S$42:S201)</f>
        <v>256267.14999999982</v>
      </c>
      <c r="AM201" s="10">
        <f t="shared" si="291"/>
        <v>98.24</v>
      </c>
      <c r="AN201" s="10">
        <f t="shared" si="292"/>
        <v>1114.21</v>
      </c>
      <c r="AO201" s="10">
        <f t="shared" si="293"/>
        <v>1212.45</v>
      </c>
      <c r="AP201" s="10">
        <f t="shared" si="294"/>
        <v>841.8999999999999</v>
      </c>
      <c r="AR201" s="43">
        <f aca="true" t="shared" si="302" ref="AR201:AR220">B201</f>
        <v>43221</v>
      </c>
      <c r="AS201" s="11">
        <f>AS$5+SUM(AV$5:AV200)-SUM(X$5:X201)+SUM(W$5:W201)</f>
        <v>120775.52757961187</v>
      </c>
      <c r="AT201" s="10">
        <f t="shared" si="295"/>
        <v>-46.29728557218454</v>
      </c>
      <c r="AU201" s="10">
        <f>IF(AB201=1,IF(Q201="tak",AT201,PMT(M201/12,P201+1-SUM(AB$5:AB201),AS201)),0)</f>
        <v>-546.4281540001458</v>
      </c>
      <c r="AV201" s="10">
        <f t="shared" si="186"/>
        <v>-500.1308684279613</v>
      </c>
      <c r="AW201" s="10">
        <f t="shared" si="187"/>
        <v>-1982.605271158729</v>
      </c>
      <c r="AY201" s="11">
        <f>AY$5+SUM(BA$5:BA200)+SUM(W$5:W200)-SUM(X$5:X200)</f>
        <v>112704.3871914858</v>
      </c>
      <c r="AZ201" s="11">
        <f t="shared" si="296"/>
        <v>-46.29728557218454</v>
      </c>
      <c r="BA201" s="11">
        <f t="shared" si="297"/>
        <v>-490.02</v>
      </c>
      <c r="BB201" s="11">
        <f t="shared" si="298"/>
        <v>-536.3172855721846</v>
      </c>
      <c r="BC201" s="11">
        <f aca="true" t="shared" si="303" ref="BC201:BC220">BB201*C201</f>
        <v>-1945.9200072415572</v>
      </c>
      <c r="BE201" s="172">
        <f t="shared" si="262"/>
        <v>0.017</v>
      </c>
      <c r="BF201" s="44">
        <f>BE201+Podsumowanie!$E$6</f>
        <v>0.029</v>
      </c>
      <c r="BG201" s="11">
        <f>BG$5+SUM(BH$5:BH200)+SUM(R$5:R200)-SUM(S$5:S200)</f>
        <v>312541.100281889</v>
      </c>
      <c r="BH201" s="10">
        <f t="shared" si="299"/>
        <v>-1011.8867953319673</v>
      </c>
      <c r="BI201" s="10">
        <f t="shared" si="300"/>
        <v>-755.3076590145652</v>
      </c>
      <c r="BJ201" s="10">
        <f>IF(U201&lt;0,PMT(BF201/12,Podsumowanie!E$8-SUM(AB$5:AB201)+1,BG201),0)</f>
        <v>-1767.1944543465324</v>
      </c>
      <c r="BL201" s="11">
        <f>BL$5+SUM(BN$5:BN200)+SUM(R$5:R200)-SUM(S$5:S200)</f>
        <v>256267.40947075197</v>
      </c>
      <c r="BM201" s="11">
        <f t="shared" si="216"/>
        <v>-619.312906220984</v>
      </c>
      <c r="BN201" s="11">
        <f t="shared" si="217"/>
        <v>-1114.2061281337042</v>
      </c>
      <c r="BO201" s="11">
        <f t="shared" si="191"/>
        <v>-1733.5190343546883</v>
      </c>
      <c r="BQ201" s="44">
        <f t="shared" si="263"/>
        <v>0.0291</v>
      </c>
      <c r="BR201" s="11">
        <f>BR$5+SUM(BS$5:BS200)+SUM(R$5:R200)-SUM(S$5:S200)+SUM(BV$5:BV200)</f>
        <v>326916.1476816025</v>
      </c>
      <c r="BS201" s="10">
        <f t="shared" si="273"/>
        <v>-1057.3222064962602</v>
      </c>
      <c r="BT201" s="10">
        <f t="shared" si="274"/>
        <v>-792.7716581278861</v>
      </c>
      <c r="BU201" s="10">
        <f>IF(U201&lt;0,PMT(BQ201/12,Podsumowanie!E$8-SUM(AB$5:AB201)+1,BR201),0)</f>
        <v>-1850.0938646241461</v>
      </c>
      <c r="BV201" s="10">
        <f t="shared" si="268"/>
        <v>-255.14678413203046</v>
      </c>
      <c r="BX201" s="11">
        <f>BX$5+SUM(BZ$5:BZ200)+SUM(R$5:R200)-SUM(S$5:S200)+SUM(CB$5,CB200)</f>
        <v>255890.0221178958</v>
      </c>
      <c r="BY201" s="10">
        <f t="shared" si="264"/>
        <v>-620.5333036358974</v>
      </c>
      <c r="BZ201" s="10">
        <f t="shared" si="265"/>
        <v>-1112.5653135560688</v>
      </c>
      <c r="CA201" s="10">
        <f t="shared" si="275"/>
        <v>-1733.0986171919662</v>
      </c>
      <c r="CB201" s="10">
        <f t="shared" si="276"/>
        <v>-372.14203156421036</v>
      </c>
      <c r="CD201" s="10">
        <f>CD$5+SUM(CE$5:CE200)+SUM(R$5:R200)-SUM(S$5:S200)-SUM(CF$5:CF200)</f>
        <v>300383.39073772944</v>
      </c>
      <c r="CE201" s="10">
        <f t="shared" si="269"/>
        <v>620.5333036358974</v>
      </c>
      <c r="CF201" s="10">
        <f t="shared" si="270"/>
        <v>2105.2406487561766</v>
      </c>
      <c r="CG201" s="10">
        <f t="shared" si="271"/>
        <v>1484.7073451202791</v>
      </c>
      <c r="CI201" s="44">
        <v>0.4324</v>
      </c>
      <c r="CJ201" s="10">
        <f t="shared" si="272"/>
        <v>-910.31</v>
      </c>
      <c r="CK201" s="4">
        <f t="shared" si="277"/>
        <v>0</v>
      </c>
      <c r="CM201" s="10">
        <f t="shared" si="278"/>
        <v>-274652.9047700322</v>
      </c>
      <c r="CN201" s="4">
        <f t="shared" si="279"/>
        <v>-389.09161509087903</v>
      </c>
    </row>
    <row r="202" spans="1:92" ht="15.75">
      <c r="A202" s="36"/>
      <c r="B202" s="37">
        <v>43252</v>
      </c>
      <c r="C202" s="77">
        <f t="shared" si="260"/>
        <v>3.727</v>
      </c>
      <c r="D202" s="79">
        <f>C202*(1+Podsumowanie!E$11)</f>
        <v>3.83881</v>
      </c>
      <c r="E202" s="34">
        <f t="shared" si="280"/>
        <v>-563.3279938145834</v>
      </c>
      <c r="F202" s="7">
        <f t="shared" si="281"/>
        <v>-2162.5091359353605</v>
      </c>
      <c r="G202" s="7">
        <f t="shared" si="282"/>
        <v>-1242.4683365655314</v>
      </c>
      <c r="H202" s="7">
        <f t="shared" si="283"/>
        <v>920.0407993698291</v>
      </c>
      <c r="I202" s="32"/>
      <c r="K202" s="4">
        <f>IF(B202&lt;Podsumowanie!E$7,0,K201+1)</f>
        <v>132</v>
      </c>
      <c r="L202" s="100">
        <f t="shared" si="261"/>
        <v>-0.0074</v>
      </c>
      <c r="M202" s="38">
        <f>L202+Podsumowanie!E$6</f>
        <v>0.0046</v>
      </c>
      <c r="N202" s="101">
        <f>MAX(Podsumowanie!E$4+SUM(AA$5:AA201)-SUM(X$5:X202)+SUM(W$5:W202),0)</f>
        <v>123995.25434142673</v>
      </c>
      <c r="O202" s="102">
        <f>MAX(Podsumowanie!E$2+SUM(V$5:V201)-SUM(S$5:S202)+SUM(R$5:R202),0)</f>
        <v>273482.19704188994</v>
      </c>
      <c r="P202" s="39">
        <f t="shared" si="192"/>
        <v>360</v>
      </c>
      <c r="Q202" s="40" t="str">
        <f>IF(AND(K202&gt;0,K202&lt;=Podsumowanie!E$9),"tak","nie")</f>
        <v>nie</v>
      </c>
      <c r="R202" s="41"/>
      <c r="S202" s="42"/>
      <c r="T202" s="88">
        <f t="shared" si="284"/>
        <v>-104.83484219939113</v>
      </c>
      <c r="U202" s="89">
        <f>IF(Q202="tak",T202,IF(P202-SUM(AB$5:AB202)+1&gt;0,IF(Podsumowanie!E$7&lt;B202,IF(SUM(AB$5:AB202)-Podsumowanie!E$9+1&gt;0,PMT(M202/12,P202+1-SUM(AB$5:AB202),O202),T202),0),0))</f>
        <v>-1242.4683365655314</v>
      </c>
      <c r="V202" s="89">
        <f t="shared" si="285"/>
        <v>-1137.6334943661402</v>
      </c>
      <c r="W202" s="90" t="str">
        <f>IF(R202&gt;0,R202/(C202*(1-Podsumowanie!E$11))," ")</f>
        <v xml:space="preserve"> </v>
      </c>
      <c r="X202" s="90">
        <f t="shared" si="266"/>
        <v>0</v>
      </c>
      <c r="Y202" s="91">
        <f t="shared" si="286"/>
        <v>-47.531514164213576</v>
      </c>
      <c r="Z202" s="90">
        <f>IF(P202-SUM(AB$5:AB202)+1&gt;0,IF(Podsumowanie!E$7&lt;B202,IF(SUM(AB$5:AB202)-Podsumowanie!E$9+1&gt;0,PMT(M202/12,P202+1-SUM(AB$5:AB202),N202),Y202),0),0)</f>
        <v>-563.3279938145834</v>
      </c>
      <c r="AA202" s="90">
        <f t="shared" si="287"/>
        <v>-515.7964796503697</v>
      </c>
      <c r="AB202" s="8">
        <f>IF(AND(Podsumowanie!E$7&lt;B202,SUM(AB$5:AB201)&lt;P201),1," ")</f>
        <v>1</v>
      </c>
      <c r="AD202" s="51">
        <f>IF(OR(B202&lt;Podsumowanie!E$12,Podsumowanie!E$12=""),-F202+S202,0)</f>
        <v>0</v>
      </c>
      <c r="AE202" s="51">
        <f t="shared" si="267"/>
        <v>563.3279938145834</v>
      </c>
      <c r="AG202" s="10">
        <f>Podsumowanie!E$4-SUM(AI$5:AI201)+SUM(W$42:W202)-SUM(X$42:X202)</f>
        <v>115685.07813555226</v>
      </c>
      <c r="AH202" s="10">
        <f t="shared" si="288"/>
        <v>44.35</v>
      </c>
      <c r="AI202" s="10">
        <f t="shared" si="289"/>
        <v>505.18</v>
      </c>
      <c r="AJ202" s="10">
        <f t="shared" si="290"/>
        <v>549.53</v>
      </c>
      <c r="AK202" s="10">
        <f t="shared" si="301"/>
        <v>2109.54</v>
      </c>
      <c r="AL202" s="10">
        <f>Podsumowanie!E$2-SUM(AN$5:AN201)+SUM(R$42:R202)-SUM(S$42:S202)</f>
        <v>255152.93999999983</v>
      </c>
      <c r="AM202" s="10">
        <f t="shared" si="291"/>
        <v>97.81</v>
      </c>
      <c r="AN202" s="10">
        <f t="shared" si="292"/>
        <v>1114.2</v>
      </c>
      <c r="AO202" s="10">
        <f t="shared" si="293"/>
        <v>1212.01</v>
      </c>
      <c r="AP202" s="10">
        <f t="shared" si="294"/>
        <v>897.53</v>
      </c>
      <c r="AR202" s="43">
        <f t="shared" si="302"/>
        <v>43252</v>
      </c>
      <c r="AS202" s="11">
        <f>AS$5+SUM(AV$5:AV201)-SUM(X$5:X202)+SUM(W$5:W202)</f>
        <v>120275.39671118392</v>
      </c>
      <c r="AT202" s="10">
        <f t="shared" si="295"/>
        <v>-46.10556873928717</v>
      </c>
      <c r="AU202" s="10">
        <f>IF(AB202=1,IF(Q202="tak",AT202,PMT(M202/12,P202+1-SUM(AB$5:AB202),AS202)),0)</f>
        <v>-546.4281540001458</v>
      </c>
      <c r="AV202" s="10">
        <f t="shared" si="186"/>
        <v>-500.32258526085866</v>
      </c>
      <c r="AW202" s="10">
        <f t="shared" si="187"/>
        <v>-2036.5377299585434</v>
      </c>
      <c r="AY202" s="11">
        <f>AY$5+SUM(BA$5:BA201)+SUM(W$5:W201)-SUM(X$5:X201)</f>
        <v>112214.3671914858</v>
      </c>
      <c r="AZ202" s="11">
        <f t="shared" si="296"/>
        <v>-46.10556873928717</v>
      </c>
      <c r="BA202" s="11">
        <f t="shared" si="297"/>
        <v>-490.02</v>
      </c>
      <c r="BB202" s="11">
        <f t="shared" si="298"/>
        <v>-536.1255687392871</v>
      </c>
      <c r="BC202" s="11">
        <f t="shared" si="303"/>
        <v>-1998.1399946913232</v>
      </c>
      <c r="BE202" s="172">
        <f t="shared" si="262"/>
        <v>0.017</v>
      </c>
      <c r="BF202" s="44">
        <f>BE202+Podsumowanie!$E$6</f>
        <v>0.029</v>
      </c>
      <c r="BG202" s="11">
        <f>BG$5+SUM(BH$5:BH201)+SUM(R$5:R201)-SUM(S$5:S201)</f>
        <v>311529.21348655707</v>
      </c>
      <c r="BH202" s="10">
        <f t="shared" si="299"/>
        <v>-1014.3321884206862</v>
      </c>
      <c r="BI202" s="10">
        <f t="shared" si="300"/>
        <v>-752.8622659258463</v>
      </c>
      <c r="BJ202" s="10">
        <f>IF(U202&lt;0,PMT(BF202/12,Podsumowanie!E$8-SUM(AB$5:AB202)+1,BG202),0)</f>
        <v>-1767.1944543465324</v>
      </c>
      <c r="BL202" s="11">
        <f>BL$5+SUM(BN$5:BN201)+SUM(R$5:R201)-SUM(S$5:S201)</f>
        <v>255153.20334261828</v>
      </c>
      <c r="BM202" s="11">
        <f t="shared" si="216"/>
        <v>-616.6202414113276</v>
      </c>
      <c r="BN202" s="11">
        <f t="shared" si="217"/>
        <v>-1114.2061281337042</v>
      </c>
      <c r="BO202" s="11">
        <f t="shared" si="191"/>
        <v>-1730.8263695450319</v>
      </c>
      <c r="BQ202" s="44">
        <f t="shared" si="263"/>
        <v>0.0291</v>
      </c>
      <c r="BR202" s="11">
        <f>BR$5+SUM(BS$5:BS201)+SUM(R$5:R201)-SUM(S$5:S201)+SUM(BV$5:BV201)</f>
        <v>325603.67869097425</v>
      </c>
      <c r="BS202" s="10">
        <f t="shared" si="273"/>
        <v>-1059.0563241418065</v>
      </c>
      <c r="BT202" s="10">
        <f t="shared" si="274"/>
        <v>-789.5889208256126</v>
      </c>
      <c r="BU202" s="10">
        <f>IF(U202&lt;0,PMT(BQ202/12,Podsumowanie!E$8-SUM(AB$5:AB202)+1,BR202),0)</f>
        <v>-1848.645244967419</v>
      </c>
      <c r="BV202" s="10">
        <f t="shared" si="268"/>
        <v>-313.8638909679414</v>
      </c>
      <c r="BX202" s="11">
        <f>BX$5+SUM(BZ$5:BZ201)+SUM(R$5:R201)-SUM(S$5:S201)+SUM(CB$5,CB201)</f>
        <v>254718.2775178804</v>
      </c>
      <c r="BY202" s="10">
        <f t="shared" si="264"/>
        <v>-617.69182298086</v>
      </c>
      <c r="BZ202" s="10">
        <f t="shared" si="265"/>
        <v>-1112.3068887243685</v>
      </c>
      <c r="CA202" s="10">
        <f t="shared" si="275"/>
        <v>-1729.9987117052285</v>
      </c>
      <c r="CB202" s="10">
        <f t="shared" si="276"/>
        <v>-432.510424230132</v>
      </c>
      <c r="CD202" s="10">
        <f>CD$5+SUM(CE$5:CE201)+SUM(R$5:R201)-SUM(S$5:S201)-SUM(CF$5:CF201)</f>
        <v>298898.6833926092</v>
      </c>
      <c r="CE202" s="10">
        <f t="shared" si="269"/>
        <v>617.69182298086</v>
      </c>
      <c r="CF202" s="10">
        <f t="shared" si="270"/>
        <v>2162.5091359353605</v>
      </c>
      <c r="CG202" s="10">
        <f t="shared" si="271"/>
        <v>1544.8173129545005</v>
      </c>
      <c r="CI202" s="44">
        <v>0.4296</v>
      </c>
      <c r="CJ202" s="10">
        <f t="shared" si="272"/>
        <v>-929.01</v>
      </c>
      <c r="CK202" s="4">
        <f t="shared" si="277"/>
        <v>0</v>
      </c>
      <c r="CM202" s="10">
        <f t="shared" si="278"/>
        <v>-276815.41390596755</v>
      </c>
      <c r="CN202" s="4">
        <f t="shared" si="279"/>
        <v>-392.1551697001207</v>
      </c>
    </row>
    <row r="203" spans="1:92" ht="15.75">
      <c r="A203" s="36"/>
      <c r="B203" s="37">
        <v>43283</v>
      </c>
      <c r="C203" s="77">
        <f t="shared" si="260"/>
        <v>3.7263</v>
      </c>
      <c r="D203" s="79">
        <f>C203*(1+Podsumowanie!E$11)</f>
        <v>3.838089</v>
      </c>
      <c r="E203" s="34">
        <f t="shared" si="280"/>
        <v>-563.3279938145834</v>
      </c>
      <c r="F203" s="7">
        <f t="shared" si="281"/>
        <v>-2162.1029764518203</v>
      </c>
      <c r="G203" s="7">
        <f t="shared" si="282"/>
        <v>-1242.4683365655312</v>
      </c>
      <c r="H203" s="7">
        <f t="shared" si="283"/>
        <v>919.634639886289</v>
      </c>
      <c r="I203" s="32"/>
      <c r="K203" s="4">
        <f>IF(B203&lt;Podsumowanie!E$7,0,K202+1)</f>
        <v>133</v>
      </c>
      <c r="L203" s="100">
        <f t="shared" si="261"/>
        <v>-0.0074</v>
      </c>
      <c r="M203" s="38">
        <f>L203+Podsumowanie!E$6</f>
        <v>0.0046</v>
      </c>
      <c r="N203" s="101">
        <f>MAX(Podsumowanie!E$4+SUM(AA$5:AA202)-SUM(X$5:X203)+SUM(W$5:W203),0)</f>
        <v>123479.45786177635</v>
      </c>
      <c r="O203" s="102">
        <f>MAX(Podsumowanie!E$2+SUM(V$5:V202)-SUM(S$5:S203)+SUM(R$5:R203),0)</f>
        <v>272344.5635475238</v>
      </c>
      <c r="P203" s="39">
        <f t="shared" si="192"/>
        <v>360</v>
      </c>
      <c r="Q203" s="40" t="str">
        <f>IF(AND(K203&gt;0,K203&lt;=Podsumowanie!E$9),"tak","nie")</f>
        <v>nie</v>
      </c>
      <c r="R203" s="41"/>
      <c r="S203" s="42"/>
      <c r="T203" s="88">
        <f t="shared" si="284"/>
        <v>-104.39874935988412</v>
      </c>
      <c r="U203" s="89">
        <f>IF(Q203="tak",T203,IF(P203-SUM(AB$5:AB203)+1&gt;0,IF(Podsumowanie!E$7&lt;B203,IF(SUM(AB$5:AB203)-Podsumowanie!E$9+1&gt;0,PMT(M203/12,P203+1-SUM(AB$5:AB203),O203),T203),0),0))</f>
        <v>-1242.4683365655312</v>
      </c>
      <c r="V203" s="89">
        <f t="shared" si="285"/>
        <v>-1138.0695872056472</v>
      </c>
      <c r="W203" s="90" t="str">
        <f>IF(R203&gt;0,R203/(C203*(1-Podsumowanie!E$11))," ")</f>
        <v xml:space="preserve"> </v>
      </c>
      <c r="X203" s="90">
        <f t="shared" si="266"/>
        <v>0</v>
      </c>
      <c r="Y203" s="91">
        <f t="shared" si="286"/>
        <v>-47.333792180347594</v>
      </c>
      <c r="Z203" s="90">
        <f>IF(P203-SUM(AB$5:AB203)+1&gt;0,IF(Podsumowanie!E$7&lt;B203,IF(SUM(AB$5:AB203)-Podsumowanie!E$9+1&gt;0,PMT(M203/12,P203+1-SUM(AB$5:AB203),N203),Y203),0),0)</f>
        <v>-563.3279938145834</v>
      </c>
      <c r="AA203" s="90">
        <f t="shared" si="287"/>
        <v>-515.9942016342358</v>
      </c>
      <c r="AB203" s="8">
        <f>IF(AND(Podsumowanie!E$7&lt;B203,SUM(AB$5:AB202)&lt;P202),1," ")</f>
        <v>1</v>
      </c>
      <c r="AD203" s="51">
        <f>IF(OR(B203&lt;Podsumowanie!E$12,Podsumowanie!E$12=""),-F203+S203,0)</f>
        <v>0</v>
      </c>
      <c r="AE203" s="51">
        <f t="shared" si="267"/>
        <v>563.3279938145834</v>
      </c>
      <c r="AG203" s="10">
        <f>Podsumowanie!E$4-SUM(AI$5:AI202)+SUM(W$42:W203)-SUM(X$42:X203)</f>
        <v>115179.89813555227</v>
      </c>
      <c r="AH203" s="10">
        <f t="shared" si="288"/>
        <v>44.15</v>
      </c>
      <c r="AI203" s="10">
        <f t="shared" si="289"/>
        <v>505.17</v>
      </c>
      <c r="AJ203" s="10">
        <f t="shared" si="290"/>
        <v>549.32</v>
      </c>
      <c r="AK203" s="10">
        <f t="shared" si="301"/>
        <v>2108.34</v>
      </c>
      <c r="AL203" s="10">
        <f>Podsumowanie!E$2-SUM(AN$5:AN202)+SUM(R$42:R203)-SUM(S$42:S203)</f>
        <v>254038.73999999982</v>
      </c>
      <c r="AM203" s="10">
        <f t="shared" si="291"/>
        <v>97.38</v>
      </c>
      <c r="AN203" s="10">
        <f t="shared" si="292"/>
        <v>1114.21</v>
      </c>
      <c r="AO203" s="10">
        <f t="shared" si="293"/>
        <v>1211.5900000000001</v>
      </c>
      <c r="AP203" s="10">
        <f t="shared" si="294"/>
        <v>896.75</v>
      </c>
      <c r="AR203" s="43">
        <f t="shared" si="302"/>
        <v>43283</v>
      </c>
      <c r="AS203" s="11">
        <f>AS$5+SUM(AV$5:AV202)-SUM(X$5:X203)+SUM(W$5:W203)</f>
        <v>119775.07412592304</v>
      </c>
      <c r="AT203" s="10">
        <f t="shared" si="295"/>
        <v>-45.91377841493716</v>
      </c>
      <c r="AU203" s="10">
        <f>IF(AB203=1,IF(Q203="tak",AT203,PMT(M203/12,P203+1-SUM(AB$5:AB203),AS203)),0)</f>
        <v>-546.4281540001457</v>
      </c>
      <c r="AV203" s="10">
        <f aca="true" t="shared" si="304" ref="AV203:AV208">AU203-AT203</f>
        <v>-500.51437558520854</v>
      </c>
      <c r="AW203" s="10">
        <f t="shared" si="187"/>
        <v>-2036.155230250743</v>
      </c>
      <c r="AY203" s="11">
        <f>AY$5+SUM(BA$5:BA202)+SUM(W$5:W202)-SUM(X$5:X202)</f>
        <v>111724.34719148581</v>
      </c>
      <c r="AZ203" s="11">
        <f t="shared" si="296"/>
        <v>-45.91377841493716</v>
      </c>
      <c r="BA203" s="11">
        <f t="shared" si="297"/>
        <v>-490.02</v>
      </c>
      <c r="BB203" s="11">
        <f t="shared" si="298"/>
        <v>-535.9337784149371</v>
      </c>
      <c r="BC203" s="11">
        <f t="shared" si="303"/>
        <v>-1997.0500385075804</v>
      </c>
      <c r="BE203" s="172">
        <f t="shared" si="262"/>
        <v>0.017</v>
      </c>
      <c r="BF203" s="44">
        <f>BE203+Podsumowanie!$E$6</f>
        <v>0.029</v>
      </c>
      <c r="BG203" s="11">
        <f>BG$5+SUM(BH$5:BH202)+SUM(R$5:R202)-SUM(S$5:S202)</f>
        <v>310514.8812981364</v>
      </c>
      <c r="BH203" s="10">
        <f t="shared" si="299"/>
        <v>-1016.7834912093695</v>
      </c>
      <c r="BI203" s="10">
        <f t="shared" si="300"/>
        <v>-750.410963137163</v>
      </c>
      <c r="BJ203" s="10">
        <f>IF(U203&lt;0,PMT(BF203/12,Podsumowanie!E$8-SUM(AB$5:AB203)+1,BG203),0)</f>
        <v>-1767.1944543465324</v>
      </c>
      <c r="BL203" s="11">
        <f>BL$5+SUM(BN$5:BN202)+SUM(R$5:R202)-SUM(S$5:S202)</f>
        <v>254038.99721448458</v>
      </c>
      <c r="BM203" s="11">
        <f t="shared" si="216"/>
        <v>-613.9275766016711</v>
      </c>
      <c r="BN203" s="11">
        <f t="shared" si="217"/>
        <v>-1114.2061281337044</v>
      </c>
      <c r="BO203" s="11">
        <f t="shared" si="191"/>
        <v>-1728.1337047353754</v>
      </c>
      <c r="BQ203" s="44">
        <f t="shared" si="263"/>
        <v>0.0291</v>
      </c>
      <c r="BR203" s="11">
        <f>BR$5+SUM(BS$5:BS202)+SUM(R$5:R202)-SUM(S$5:S202)+SUM(BV$5:BV202)</f>
        <v>324230.7584758645</v>
      </c>
      <c r="BS203" s="10">
        <f t="shared" si="273"/>
        <v>-1060.5978491505148</v>
      </c>
      <c r="BT203" s="10">
        <f t="shared" si="274"/>
        <v>-786.2595893039714</v>
      </c>
      <c r="BU203" s="10">
        <f>IF(U203&lt;0,PMT(BQ203/12,Podsumowanie!E$8-SUM(AB$5:AB203)+1,BR203),0)</f>
        <v>-1846.857438454486</v>
      </c>
      <c r="BV203" s="10">
        <f t="shared" si="268"/>
        <v>-315.24553799733417</v>
      </c>
      <c r="BX203" s="11">
        <f>BX$5+SUM(BZ$5:BZ202)+SUM(R$5:R202)-SUM(S$5:S202)+SUM(CB$5,CB202)</f>
        <v>253545.60223649011</v>
      </c>
      <c r="BY203" s="10">
        <f t="shared" si="264"/>
        <v>-614.8480854234886</v>
      </c>
      <c r="BZ203" s="10">
        <f t="shared" si="265"/>
        <v>-1112.042115072325</v>
      </c>
      <c r="CA203" s="10">
        <f t="shared" si="275"/>
        <v>-1726.8902004958136</v>
      </c>
      <c r="CB203" s="10">
        <f t="shared" si="276"/>
        <v>-435.2127759560067</v>
      </c>
      <c r="CD203" s="10">
        <f>CD$5+SUM(CE$5:CE202)+SUM(R$5:R202)-SUM(S$5:S202)-SUM(CF$5:CF202)</f>
        <v>297353.8660796547</v>
      </c>
      <c r="CE203" s="10">
        <f t="shared" si="269"/>
        <v>614.8480854234886</v>
      </c>
      <c r="CF203" s="10">
        <f t="shared" si="270"/>
        <v>2162.1029764518203</v>
      </c>
      <c r="CG203" s="10">
        <f t="shared" si="271"/>
        <v>1547.2548910283317</v>
      </c>
      <c r="CI203" s="44">
        <v>0.4282</v>
      </c>
      <c r="CJ203" s="10">
        <f t="shared" si="272"/>
        <v>-925.81</v>
      </c>
      <c r="CK203" s="4">
        <f t="shared" si="277"/>
        <v>0</v>
      </c>
      <c r="CM203" s="10">
        <f t="shared" si="278"/>
        <v>-278977.51688241935</v>
      </c>
      <c r="CN203" s="4">
        <f t="shared" si="279"/>
        <v>-395.2181489167608</v>
      </c>
    </row>
    <row r="204" spans="1:92" ht="15.75">
      <c r="A204" s="36"/>
      <c r="B204" s="37">
        <v>43315</v>
      </c>
      <c r="C204" s="77">
        <f t="shared" si="260"/>
        <v>3.7566</v>
      </c>
      <c r="D204" s="79">
        <f>C204*(1+Podsumowanie!E$11)</f>
        <v>3.869298</v>
      </c>
      <c r="E204" s="34">
        <f t="shared" si="280"/>
        <v>-563.3279938145834</v>
      </c>
      <c r="F204" s="7">
        <f t="shared" si="281"/>
        <v>-2179.6838798107797</v>
      </c>
      <c r="G204" s="7">
        <f t="shared" si="282"/>
        <v>-1242.4683365655314</v>
      </c>
      <c r="H204" s="7">
        <f t="shared" si="283"/>
        <v>937.2155432452482</v>
      </c>
      <c r="I204" s="32"/>
      <c r="K204" s="4">
        <f>IF(B204&lt;Podsumowanie!E$7,0,K203+1)</f>
        <v>134</v>
      </c>
      <c r="L204" s="100">
        <f t="shared" si="261"/>
        <v>-0.0074</v>
      </c>
      <c r="M204" s="38">
        <f>L204+Podsumowanie!E$6</f>
        <v>0.0046</v>
      </c>
      <c r="N204" s="101">
        <f>MAX(Podsumowanie!E$4+SUM(AA$5:AA203)-SUM(X$5:X204)+SUM(W$5:W204),0)</f>
        <v>122963.46366014212</v>
      </c>
      <c r="O204" s="102">
        <f>MAX(Podsumowanie!E$2+SUM(V$5:V203)-SUM(S$5:S204)+SUM(R$5:R204),0)</f>
        <v>271206.49396031816</v>
      </c>
      <c r="P204" s="39">
        <f t="shared" si="192"/>
        <v>360</v>
      </c>
      <c r="Q204" s="40" t="str">
        <f>IF(AND(K204&gt;0,K204&lt;=Podsumowanie!E$9),"tak","nie")</f>
        <v>nie</v>
      </c>
      <c r="R204" s="41"/>
      <c r="S204" s="42"/>
      <c r="T204" s="88">
        <f t="shared" si="284"/>
        <v>-103.96248935145529</v>
      </c>
      <c r="U204" s="89">
        <f>IF(Q204="tak",T204,IF(P204-SUM(AB$5:AB204)+1&gt;0,IF(Podsumowanie!E$7&lt;B204,IF(SUM(AB$5:AB204)-Podsumowanie!E$9+1&gt;0,PMT(M204/12,P204+1-SUM(AB$5:AB204),O204),T204),0),0))</f>
        <v>-1242.4683365655314</v>
      </c>
      <c r="V204" s="89">
        <f t="shared" si="285"/>
        <v>-1138.505847214076</v>
      </c>
      <c r="W204" s="90" t="str">
        <f>IF(R204&gt;0,R204/(C204*(1-Podsumowanie!E$11))," ")</f>
        <v xml:space="preserve"> </v>
      </c>
      <c r="X204" s="90">
        <f t="shared" si="266"/>
        <v>0</v>
      </c>
      <c r="Y204" s="91">
        <f t="shared" si="286"/>
        <v>-47.135994403054475</v>
      </c>
      <c r="Z204" s="90">
        <f>IF(P204-SUM(AB$5:AB204)+1&gt;0,IF(Podsumowanie!E$7&lt;B204,IF(SUM(AB$5:AB204)-Podsumowanie!E$9+1&gt;0,PMT(M204/12,P204+1-SUM(AB$5:AB204),N204),Y204),0),0)</f>
        <v>-563.3279938145834</v>
      </c>
      <c r="AA204" s="90">
        <f t="shared" si="287"/>
        <v>-516.1919994115289</v>
      </c>
      <c r="AB204" s="8">
        <f>IF(AND(Podsumowanie!E$7&lt;B204,SUM(AB$5:AB203)&lt;P203),1," ")</f>
        <v>1</v>
      </c>
      <c r="AD204" s="51">
        <f>IF(OR(B204&lt;Podsumowanie!E$12,Podsumowanie!E$12=""),-F204+S204,0)</f>
        <v>0</v>
      </c>
      <c r="AE204" s="51">
        <f t="shared" si="267"/>
        <v>563.3279938145834</v>
      </c>
      <c r="AG204" s="10">
        <f>Podsumowanie!E$4-SUM(AI$5:AI203)+SUM(W$42:W204)-SUM(X$42:X204)</f>
        <v>114674.72813555227</v>
      </c>
      <c r="AH204" s="10">
        <f t="shared" si="288"/>
        <v>43.96</v>
      </c>
      <c r="AI204" s="10">
        <f t="shared" si="289"/>
        <v>505.18</v>
      </c>
      <c r="AJ204" s="10">
        <f t="shared" si="290"/>
        <v>549.14</v>
      </c>
      <c r="AK204" s="10">
        <f t="shared" si="301"/>
        <v>2124.79</v>
      </c>
      <c r="AL204" s="10">
        <f>Podsumowanie!E$2-SUM(AN$5:AN203)+SUM(R$42:R204)-SUM(S$42:S204)</f>
        <v>252924.52999999982</v>
      </c>
      <c r="AM204" s="10">
        <f t="shared" si="291"/>
        <v>96.95</v>
      </c>
      <c r="AN204" s="10">
        <f t="shared" si="292"/>
        <v>1114.2</v>
      </c>
      <c r="AO204" s="10">
        <f t="shared" si="293"/>
        <v>1211.15</v>
      </c>
      <c r="AP204" s="10">
        <f t="shared" si="294"/>
        <v>913.6399999999999</v>
      </c>
      <c r="AR204" s="43">
        <f t="shared" si="302"/>
        <v>43315</v>
      </c>
      <c r="AS204" s="11">
        <f>AS$5+SUM(AV$5:AV203)-SUM(X$5:X204)+SUM(W$5:W204)</f>
        <v>119274.55975033784</v>
      </c>
      <c r="AT204" s="10">
        <f t="shared" si="295"/>
        <v>-45.72191457096284</v>
      </c>
      <c r="AU204" s="10">
        <f>IF(AB204=1,IF(Q204="tak",AT204,PMT(M204/12,P204+1-SUM(AB$5:AB204),AS204)),0)</f>
        <v>-546.4281540001458</v>
      </c>
      <c r="AV204" s="10">
        <f t="shared" si="304"/>
        <v>-500.706239429183</v>
      </c>
      <c r="AW204" s="10">
        <f t="shared" si="187"/>
        <v>-2052.7120033169476</v>
      </c>
      <c r="AY204" s="11">
        <f>AY$5+SUM(BA$5:BA203)+SUM(W$5:W203)-SUM(X$5:X203)</f>
        <v>111234.32719148582</v>
      </c>
      <c r="AZ204" s="11">
        <f t="shared" si="296"/>
        <v>-45.72191457096284</v>
      </c>
      <c r="BA204" s="11">
        <f t="shared" si="297"/>
        <v>-490.02</v>
      </c>
      <c r="BB204" s="11">
        <f t="shared" si="298"/>
        <v>-535.7419145709628</v>
      </c>
      <c r="BC204" s="11">
        <f t="shared" si="303"/>
        <v>-2012.5680762772788</v>
      </c>
      <c r="BE204" s="172">
        <f t="shared" si="262"/>
        <v>0.017</v>
      </c>
      <c r="BF204" s="44">
        <f>BE204+Podsumowanie!$E$6</f>
        <v>0.029</v>
      </c>
      <c r="BG204" s="11">
        <f>BG$5+SUM(BH$5:BH203)+SUM(R$5:R203)-SUM(S$5:S203)</f>
        <v>309498.09780692705</v>
      </c>
      <c r="BH204" s="10">
        <f t="shared" si="299"/>
        <v>-1019.2407179797925</v>
      </c>
      <c r="BI204" s="10">
        <f t="shared" si="300"/>
        <v>-747.9537363667404</v>
      </c>
      <c r="BJ204" s="10">
        <f>IF(U204&lt;0,PMT(BF204/12,Podsumowanie!E$8-SUM(AB$5:AB204)+1,BG204),0)</f>
        <v>-1767.194454346533</v>
      </c>
      <c r="BL204" s="11">
        <f>BL$5+SUM(BN$5:BN203)+SUM(R$5:R203)-SUM(S$5:S203)</f>
        <v>252924.7910863509</v>
      </c>
      <c r="BM204" s="11">
        <f t="shared" si="216"/>
        <v>-611.2349117920147</v>
      </c>
      <c r="BN204" s="11">
        <f t="shared" si="217"/>
        <v>-1114.2061281337044</v>
      </c>
      <c r="BO204" s="11">
        <f t="shared" si="191"/>
        <v>-1725.441039925719</v>
      </c>
      <c r="BQ204" s="44">
        <f t="shared" si="263"/>
        <v>0.0291</v>
      </c>
      <c r="BR204" s="11">
        <f>BR$5+SUM(BS$5:BS203)+SUM(R$5:R203)-SUM(S$5:S203)+SUM(BV$5:BV203)</f>
        <v>322854.91508871666</v>
      </c>
      <c r="BS204" s="10">
        <f t="shared" si="273"/>
        <v>-1062.1326996722055</v>
      </c>
      <c r="BT204" s="10">
        <f t="shared" si="274"/>
        <v>-782.9231690901379</v>
      </c>
      <c r="BU204" s="10">
        <f>IF(U204&lt;0,PMT(BQ204/12,Podsumowanie!E$8-SUM(AB$5:AB204)+1,BR204),0)</f>
        <v>-1845.0558687623434</v>
      </c>
      <c r="BV204" s="10">
        <f t="shared" si="268"/>
        <v>-334.6280110484363</v>
      </c>
      <c r="BX204" s="11">
        <f>BX$5+SUM(BZ$5:BZ203)+SUM(R$5:R203)-SUM(S$5:S203)+SUM(CB$5,CB203)</f>
        <v>252430.85776969194</v>
      </c>
      <c r="BY204" s="10">
        <f t="shared" si="264"/>
        <v>-612.144830091503</v>
      </c>
      <c r="BZ204" s="10">
        <f t="shared" si="265"/>
        <v>-1112.0302104391715</v>
      </c>
      <c r="CA204" s="10">
        <f t="shared" si="275"/>
        <v>-1724.1750405306743</v>
      </c>
      <c r="CB204" s="10">
        <f t="shared" si="276"/>
        <v>-455.50883928010535</v>
      </c>
      <c r="CD204" s="10">
        <f>CD$5+SUM(CE$5:CE203)+SUM(R$5:R203)-SUM(S$5:S203)-SUM(CF$5:CF203)</f>
        <v>295806.6111886264</v>
      </c>
      <c r="CE204" s="10">
        <f t="shared" si="269"/>
        <v>612.144830091503</v>
      </c>
      <c r="CF204" s="10">
        <f t="shared" si="270"/>
        <v>2179.6838798107797</v>
      </c>
      <c r="CG204" s="10">
        <f t="shared" si="271"/>
        <v>1567.5390497192766</v>
      </c>
      <c r="CI204" s="44">
        <v>0.431</v>
      </c>
      <c r="CJ204" s="10">
        <f t="shared" si="272"/>
        <v>-939.44</v>
      </c>
      <c r="CK204" s="4">
        <f t="shared" si="277"/>
        <v>0</v>
      </c>
      <c r="CM204" s="10">
        <f t="shared" si="278"/>
        <v>-281157.20076223015</v>
      </c>
      <c r="CN204" s="4">
        <f t="shared" si="279"/>
        <v>-398.30603441315935</v>
      </c>
    </row>
    <row r="205" spans="1:92" ht="15.75">
      <c r="A205" s="36"/>
      <c r="B205" s="37">
        <v>43347</v>
      </c>
      <c r="C205" s="77">
        <f t="shared" si="260"/>
        <v>3.8086</v>
      </c>
      <c r="D205" s="79">
        <f>C205*(1+Podsumowanie!E$11)</f>
        <v>3.922858</v>
      </c>
      <c r="E205" s="34">
        <f t="shared" si="280"/>
        <v>-563.3279938145834</v>
      </c>
      <c r="F205" s="7">
        <f t="shared" si="281"/>
        <v>-2209.855727159489</v>
      </c>
      <c r="G205" s="7">
        <f t="shared" si="282"/>
        <v>-1242.4683365655312</v>
      </c>
      <c r="H205" s="7">
        <f t="shared" si="283"/>
        <v>967.3873905939579</v>
      </c>
      <c r="I205" s="32"/>
      <c r="K205" s="4">
        <f>IF(B205&lt;Podsumowanie!E$7,0,K204+1)</f>
        <v>135</v>
      </c>
      <c r="L205" s="100">
        <f t="shared" si="261"/>
        <v>-0.0074</v>
      </c>
      <c r="M205" s="38">
        <f>L205+Podsumowanie!E$6</f>
        <v>0.0046</v>
      </c>
      <c r="N205" s="101">
        <f>MAX(Podsumowanie!E$4+SUM(AA$5:AA204)-SUM(X$5:X205)+SUM(W$5:W205),0)</f>
        <v>122447.27166073059</v>
      </c>
      <c r="O205" s="102">
        <f>MAX(Podsumowanie!E$2+SUM(V$5:V204)-SUM(S$5:S205)+SUM(R$5:R205),0)</f>
        <v>270067.9881131041</v>
      </c>
      <c r="P205" s="39">
        <f t="shared" si="192"/>
        <v>360</v>
      </c>
      <c r="Q205" s="40" t="str">
        <f>IF(AND(K205&gt;0,K205&lt;=Podsumowanie!E$9),"tak","nie")</f>
        <v>nie</v>
      </c>
      <c r="R205" s="41"/>
      <c r="S205" s="42"/>
      <c r="T205" s="88">
        <f t="shared" si="284"/>
        <v>-103.52606211002323</v>
      </c>
      <c r="U205" s="89">
        <f>IF(Q205="tak",T205,IF(P205-SUM(AB$5:AB205)+1&gt;0,IF(Podsumowanie!E$7&lt;B205,IF(SUM(AB$5:AB205)-Podsumowanie!E$9+1&gt;0,PMT(M205/12,P205+1-SUM(AB$5:AB205),O205),T205),0),0))</f>
        <v>-1242.4683365655312</v>
      </c>
      <c r="V205" s="89">
        <f t="shared" si="285"/>
        <v>-1138.942274455508</v>
      </c>
      <c r="W205" s="90" t="str">
        <f>IF(R205&gt;0,R205/(C205*(1-Podsumowanie!E$11))," ")</f>
        <v xml:space="preserve"> </v>
      </c>
      <c r="X205" s="90">
        <f t="shared" si="266"/>
        <v>0</v>
      </c>
      <c r="Y205" s="91">
        <f t="shared" si="286"/>
        <v>-46.938120803280064</v>
      </c>
      <c r="Z205" s="90">
        <f>IF(P205-SUM(AB$5:AB205)+1&gt;0,IF(Podsumowanie!E$7&lt;B205,IF(SUM(AB$5:AB205)-Podsumowanie!E$9+1&gt;0,PMT(M205/12,P205+1-SUM(AB$5:AB205),N205),Y205),0),0)</f>
        <v>-563.3279938145834</v>
      </c>
      <c r="AA205" s="90">
        <f t="shared" si="287"/>
        <v>-516.3898730113033</v>
      </c>
      <c r="AB205" s="8">
        <f>IF(AND(Podsumowanie!E$7&lt;B205,SUM(AB$5:AB204)&lt;P204),1," ")</f>
        <v>1</v>
      </c>
      <c r="AD205" s="51">
        <f>IF(OR(B205&lt;Podsumowanie!E$12,Podsumowanie!E$12=""),-F205+S205,0)</f>
        <v>0</v>
      </c>
      <c r="AE205" s="51">
        <f t="shared" si="267"/>
        <v>563.3279938145834</v>
      </c>
      <c r="AG205" s="10">
        <f>Podsumowanie!E$4-SUM(AI$5:AI204)+SUM(W$42:W205)-SUM(X$42:X205)</f>
        <v>114169.54813555228</v>
      </c>
      <c r="AH205" s="10">
        <f t="shared" si="288"/>
        <v>43.76</v>
      </c>
      <c r="AI205" s="10">
        <f t="shared" si="289"/>
        <v>505.17</v>
      </c>
      <c r="AJ205" s="10">
        <f t="shared" si="290"/>
        <v>548.9300000000001</v>
      </c>
      <c r="AK205" s="10">
        <f t="shared" si="301"/>
        <v>2153.37</v>
      </c>
      <c r="AL205" s="10">
        <f>Podsumowanie!E$2-SUM(AN$5:AN204)+SUM(R$42:R205)-SUM(S$42:S205)</f>
        <v>251810.3299999998</v>
      </c>
      <c r="AM205" s="10">
        <f t="shared" si="291"/>
        <v>96.53</v>
      </c>
      <c r="AN205" s="10">
        <f t="shared" si="292"/>
        <v>1114.21</v>
      </c>
      <c r="AO205" s="10">
        <f t="shared" si="293"/>
        <v>1210.74</v>
      </c>
      <c r="AP205" s="10">
        <f t="shared" si="294"/>
        <v>942.6299999999999</v>
      </c>
      <c r="AR205" s="43">
        <f t="shared" si="302"/>
        <v>43347</v>
      </c>
      <c r="AS205" s="11">
        <f>AS$5+SUM(AV$5:AV204)-SUM(X$5:X205)+SUM(W$5:W205)</f>
        <v>118773.85351090865</v>
      </c>
      <c r="AT205" s="10">
        <f t="shared" si="295"/>
        <v>-45.52997717918165</v>
      </c>
      <c r="AU205" s="10">
        <f>IF(AB205=1,IF(Q205="tak",AT205,PMT(M205/12,P205+1-SUM(AB$5:AB205),AS205)),0)</f>
        <v>-546.4281540001457</v>
      </c>
      <c r="AV205" s="10">
        <f t="shared" si="304"/>
        <v>-500.89817682096407</v>
      </c>
      <c r="AW205" s="10">
        <f t="shared" si="187"/>
        <v>-2081.126267324955</v>
      </c>
      <c r="AY205" s="11">
        <f>AY$5+SUM(BA$5:BA204)+SUM(W$5:W204)-SUM(X$5:X204)</f>
        <v>110744.30719148582</v>
      </c>
      <c r="AZ205" s="11">
        <f t="shared" si="296"/>
        <v>-45.52997717918165</v>
      </c>
      <c r="BA205" s="11">
        <f t="shared" si="297"/>
        <v>-490.02</v>
      </c>
      <c r="BB205" s="11">
        <f t="shared" si="298"/>
        <v>-535.5499771791816</v>
      </c>
      <c r="BC205" s="11">
        <f t="shared" si="303"/>
        <v>-2039.6956430846312</v>
      </c>
      <c r="BE205" s="172">
        <f t="shared" si="262"/>
        <v>0.0172</v>
      </c>
      <c r="BF205" s="44">
        <f>BE205+Podsumowanie!$E$6</f>
        <v>0.0292</v>
      </c>
      <c r="BG205" s="11">
        <f>BG$5+SUM(BH$5:BH204)+SUM(R$5:R204)-SUM(S$5:S204)</f>
        <v>308478.8570889472</v>
      </c>
      <c r="BH205" s="10">
        <f t="shared" si="299"/>
        <v>-1019.6106871168828</v>
      </c>
      <c r="BI205" s="10">
        <f t="shared" si="300"/>
        <v>-750.6318855831049</v>
      </c>
      <c r="BJ205" s="10">
        <f>IF(U205&lt;0,PMT(BF205/12,Podsumowanie!E$8-SUM(AB$5:AB205)+1,BG205),0)</f>
        <v>-1770.2425726999877</v>
      </c>
      <c r="BL205" s="11">
        <f>BL$5+SUM(BN$5:BN204)+SUM(R$5:R204)-SUM(S$5:S204)</f>
        <v>251810.5849582172</v>
      </c>
      <c r="BM205" s="11">
        <f t="shared" si="216"/>
        <v>-612.7390900649951</v>
      </c>
      <c r="BN205" s="11">
        <f t="shared" si="217"/>
        <v>-1114.2061281337044</v>
      </c>
      <c r="BO205" s="11">
        <f t="shared" si="191"/>
        <v>-1726.9452181986994</v>
      </c>
      <c r="BQ205" s="44">
        <f t="shared" si="263"/>
        <v>0.0293</v>
      </c>
      <c r="BR205" s="11">
        <f>BR$5+SUM(BS$5:BS204)+SUM(R$5:R204)-SUM(S$5:S204)+SUM(BV$5:BV204)</f>
        <v>321458.154377996</v>
      </c>
      <c r="BS205" s="10">
        <f t="shared" si="273"/>
        <v>-1061.4215608208315</v>
      </c>
      <c r="BT205" s="10">
        <f t="shared" si="274"/>
        <v>-784.8936602729401</v>
      </c>
      <c r="BU205" s="10">
        <f>IF(U205&lt;0,PMT(BQ205/12,Podsumowanie!E$8-SUM(AB$5:AB205)+1,BR205),0)</f>
        <v>-1846.3152210937717</v>
      </c>
      <c r="BV205" s="10">
        <f t="shared" si="268"/>
        <v>-363.5405060657174</v>
      </c>
      <c r="BX205" s="11">
        <f>BX$5+SUM(BZ$5:BZ204)+SUM(R$5:R204)-SUM(S$5:S204)+SUM(CB$5,CB204)</f>
        <v>251298.53149592865</v>
      </c>
      <c r="BY205" s="10">
        <f t="shared" si="264"/>
        <v>-613.5872477358924</v>
      </c>
      <c r="BZ205" s="10">
        <f t="shared" si="265"/>
        <v>-1111.9404048492418</v>
      </c>
      <c r="CA205" s="10">
        <f t="shared" si="275"/>
        <v>-1725.527652585134</v>
      </c>
      <c r="CB205" s="10">
        <f t="shared" si="276"/>
        <v>-484.328074574355</v>
      </c>
      <c r="CD205" s="10">
        <f>CD$5+SUM(CE$5:CE204)+SUM(R$5:R204)-SUM(S$5:S204)-SUM(CF$5:CF204)</f>
        <v>294239.0721389071</v>
      </c>
      <c r="CE205" s="10">
        <f t="shared" si="269"/>
        <v>613.5872477358924</v>
      </c>
      <c r="CF205" s="10">
        <f t="shared" si="270"/>
        <v>2209.855727159489</v>
      </c>
      <c r="CG205" s="10">
        <f t="shared" si="271"/>
        <v>1596.2684794235965</v>
      </c>
      <c r="CI205" s="44">
        <v>0.431</v>
      </c>
      <c r="CJ205" s="10">
        <f t="shared" si="272"/>
        <v>-952.45</v>
      </c>
      <c r="CK205" s="4">
        <f t="shared" si="277"/>
        <v>0</v>
      </c>
      <c r="CM205" s="10">
        <f t="shared" si="278"/>
        <v>-283367.0564893896</v>
      </c>
      <c r="CN205" s="4">
        <f t="shared" si="279"/>
        <v>-406.1594476347918</v>
      </c>
    </row>
    <row r="206" spans="1:92" ht="15.75">
      <c r="A206" s="36"/>
      <c r="B206" s="37">
        <v>43374</v>
      </c>
      <c r="C206" s="77">
        <f t="shared" si="260"/>
        <v>3.7723</v>
      </c>
      <c r="D206" s="79">
        <f>C206*(1+Podsumowanie!E$11)</f>
        <v>3.885469</v>
      </c>
      <c r="E206" s="34">
        <f t="shared" si="280"/>
        <v>-563.3279938145834</v>
      </c>
      <c r="F206" s="7">
        <f t="shared" si="281"/>
        <v>-2188.7934567987554</v>
      </c>
      <c r="G206" s="7">
        <f t="shared" si="282"/>
        <v>-1242.4683365655314</v>
      </c>
      <c r="H206" s="7">
        <f t="shared" si="283"/>
        <v>946.325120233224</v>
      </c>
      <c r="I206" s="32"/>
      <c r="K206" s="4">
        <f>IF(B206&lt;Podsumowanie!E$7,0,K205+1)</f>
        <v>136</v>
      </c>
      <c r="L206" s="100">
        <f t="shared" si="261"/>
        <v>-0.0074</v>
      </c>
      <c r="M206" s="38">
        <f>L206+Podsumowanie!E$6</f>
        <v>0.0046</v>
      </c>
      <c r="N206" s="101">
        <f>MAX(Podsumowanie!E$4+SUM(AA$5:AA205)-SUM(X$5:X206)+SUM(W$5:W206),0)</f>
        <v>121930.88178771928</v>
      </c>
      <c r="O206" s="102">
        <f>MAX(Podsumowanie!E$2+SUM(V$5:V205)-SUM(S$5:S206)+SUM(R$5:R206),0)</f>
        <v>268929.04583864857</v>
      </c>
      <c r="P206" s="39">
        <f t="shared" si="192"/>
        <v>360</v>
      </c>
      <c r="Q206" s="40" t="str">
        <f>IF(AND(K206&gt;0,K206&lt;=Podsumowanie!E$9),"tak","nie")</f>
        <v>nie</v>
      </c>
      <c r="R206" s="41"/>
      <c r="S206" s="42"/>
      <c r="T206" s="88">
        <f t="shared" si="284"/>
        <v>-103.08946757148196</v>
      </c>
      <c r="U206" s="89">
        <f>IF(Q206="tak",T206,IF(P206-SUM(AB$5:AB206)+1&gt;0,IF(Podsumowanie!E$7&lt;B206,IF(SUM(AB$5:AB206)-Podsumowanie!E$9+1&gt;0,PMT(M206/12,P206+1-SUM(AB$5:AB206),O206),T206),0),0))</f>
        <v>-1242.4683365655314</v>
      </c>
      <c r="V206" s="89">
        <f t="shared" si="285"/>
        <v>-1139.3788689940495</v>
      </c>
      <c r="W206" s="90" t="str">
        <f>IF(R206&gt;0,R206/(C206*(1-Podsumowanie!E$11))," ")</f>
        <v xml:space="preserve"> </v>
      </c>
      <c r="X206" s="90">
        <f t="shared" si="266"/>
        <v>0</v>
      </c>
      <c r="Y206" s="91">
        <f t="shared" si="286"/>
        <v>-46.740171351959056</v>
      </c>
      <c r="Z206" s="90">
        <f>IF(P206-SUM(AB$5:AB206)+1&gt;0,IF(Podsumowanie!E$7&lt;B206,IF(SUM(AB$5:AB206)-Podsumowanie!E$9+1&gt;0,PMT(M206/12,P206+1-SUM(AB$5:AB206),N206),Y206),0),0)</f>
        <v>-563.3279938145834</v>
      </c>
      <c r="AA206" s="90">
        <f t="shared" si="287"/>
        <v>-516.5878224626243</v>
      </c>
      <c r="AB206" s="8">
        <f>IF(AND(Podsumowanie!E$7&lt;B206,SUM(AB$5:AB205)&lt;P205),1," ")</f>
        <v>1</v>
      </c>
      <c r="AD206" s="51">
        <f>IF(OR(B206&lt;Podsumowanie!E$12,Podsumowanie!E$12=""),-F206+S206,0)</f>
        <v>0</v>
      </c>
      <c r="AE206" s="51">
        <f t="shared" si="267"/>
        <v>563.3279938145834</v>
      </c>
      <c r="AG206" s="10">
        <f>Podsumowanie!E$4-SUM(AI$5:AI205)+SUM(W$42:W206)-SUM(X$42:X206)</f>
        <v>113664.37813555228</v>
      </c>
      <c r="AH206" s="10">
        <f t="shared" si="288"/>
        <v>43.57</v>
      </c>
      <c r="AI206" s="10">
        <f t="shared" si="289"/>
        <v>505.18</v>
      </c>
      <c r="AJ206" s="10">
        <f t="shared" si="290"/>
        <v>548.75</v>
      </c>
      <c r="AK206" s="10">
        <f t="shared" si="301"/>
        <v>2132.15</v>
      </c>
      <c r="AL206" s="10">
        <f>Podsumowanie!E$2-SUM(AN$5:AN205)+SUM(R$42:R206)-SUM(S$42:S206)</f>
        <v>250696.11999999982</v>
      </c>
      <c r="AM206" s="10">
        <f t="shared" si="291"/>
        <v>96.1</v>
      </c>
      <c r="AN206" s="10">
        <f t="shared" si="292"/>
        <v>1114.2</v>
      </c>
      <c r="AO206" s="10">
        <f t="shared" si="293"/>
        <v>1210.3</v>
      </c>
      <c r="AP206" s="10">
        <f t="shared" si="294"/>
        <v>921.8500000000001</v>
      </c>
      <c r="AR206" s="43">
        <f t="shared" si="302"/>
        <v>43374</v>
      </c>
      <c r="AS206" s="11">
        <f>AS$5+SUM(AV$5:AV205)-SUM(X$5:X206)+SUM(W$5:W206)</f>
        <v>118272.95533408769</v>
      </c>
      <c r="AT206" s="10">
        <f t="shared" si="295"/>
        <v>-45.33796621140028</v>
      </c>
      <c r="AU206" s="10">
        <f>IF(AB206=1,IF(Q206="tak",AT206,PMT(M206/12,P206+1-SUM(AB$5:AB206),AS206)),0)</f>
        <v>-546.4281540001458</v>
      </c>
      <c r="AV206" s="10">
        <f t="shared" si="304"/>
        <v>-501.09018778874554</v>
      </c>
      <c r="AW206" s="10">
        <f t="shared" si="187"/>
        <v>-2061.29092533475</v>
      </c>
      <c r="AY206" s="11">
        <f>AY$5+SUM(BA$5:BA205)+SUM(W$5:W205)-SUM(X$5:X205)</f>
        <v>110254.28719148581</v>
      </c>
      <c r="AZ206" s="11">
        <f t="shared" si="296"/>
        <v>-45.33796621140028</v>
      </c>
      <c r="BA206" s="11">
        <f t="shared" si="297"/>
        <v>-490.02</v>
      </c>
      <c r="BB206" s="11">
        <f t="shared" si="298"/>
        <v>-535.3579662114003</v>
      </c>
      <c r="BC206" s="11">
        <f t="shared" si="303"/>
        <v>-2019.5308559392652</v>
      </c>
      <c r="BE206" s="172">
        <f t="shared" si="262"/>
        <v>0.0172</v>
      </c>
      <c r="BF206" s="44">
        <f>BE206+Podsumowanie!$E$6</f>
        <v>0.0292</v>
      </c>
      <c r="BG206" s="11">
        <f>BG$5+SUM(BH$5:BH205)+SUM(R$5:R205)-SUM(S$5:S205)</f>
        <v>307459.24640183034</v>
      </c>
      <c r="BH206" s="10">
        <f t="shared" si="299"/>
        <v>-1022.0917397888674</v>
      </c>
      <c r="BI206" s="10">
        <f t="shared" si="300"/>
        <v>-748.1508329111206</v>
      </c>
      <c r="BJ206" s="10">
        <f>IF(U206&lt;0,PMT(BF206/12,Podsumowanie!E$8-SUM(AB$5:AB206)+1,BG206),0)</f>
        <v>-1770.242572699988</v>
      </c>
      <c r="BL206" s="11">
        <f>BL$5+SUM(BN$5:BN205)+SUM(R$5:R205)-SUM(S$5:S205)</f>
        <v>250696.3788300835</v>
      </c>
      <c r="BM206" s="11">
        <f t="shared" si="216"/>
        <v>-610.0278551532032</v>
      </c>
      <c r="BN206" s="11">
        <f t="shared" si="217"/>
        <v>-1114.2061281337044</v>
      </c>
      <c r="BO206" s="11">
        <f t="shared" si="191"/>
        <v>-1724.2339832869075</v>
      </c>
      <c r="BQ206" s="44">
        <f t="shared" si="263"/>
        <v>0.0293</v>
      </c>
      <c r="BR206" s="11">
        <f>BR$5+SUM(BS$5:BS205)+SUM(R$5:R205)-SUM(S$5:S205)+SUM(BV$5:BV205)</f>
        <v>320033.19231110945</v>
      </c>
      <c r="BS206" s="10">
        <f t="shared" si="273"/>
        <v>-1062.8059080748162</v>
      </c>
      <c r="BT206" s="10">
        <f t="shared" si="274"/>
        <v>-781.4143778929589</v>
      </c>
      <c r="BU206" s="10">
        <f>IF(U206&lt;0,PMT(BQ206/12,Podsumowanie!E$8-SUM(AB$5:AB206)+1,BR206),0)</f>
        <v>-1844.220285967775</v>
      </c>
      <c r="BV206" s="10">
        <f t="shared" si="268"/>
        <v>-344.5731708309804</v>
      </c>
      <c r="BX206" s="11">
        <f>BX$5+SUM(BZ$5:BZ205)+SUM(R$5:R205)-SUM(S$5:S205)+SUM(CB$5,CB205)</f>
        <v>250157.77185578516</v>
      </c>
      <c r="BY206" s="10">
        <f t="shared" si="264"/>
        <v>-610.8018929478754</v>
      </c>
      <c r="BZ206" s="10">
        <f t="shared" si="265"/>
        <v>-1111.8123193590452</v>
      </c>
      <c r="CA206" s="10">
        <f t="shared" si="275"/>
        <v>-1722.6142123069208</v>
      </c>
      <c r="CB206" s="10">
        <f t="shared" si="276"/>
        <v>-466.17924449183465</v>
      </c>
      <c r="CD206" s="10">
        <f>CD$5+SUM(CE$5:CE205)+SUM(R$5:R205)-SUM(S$5:S205)-SUM(CF$5:CF205)</f>
        <v>292642.80365948344</v>
      </c>
      <c r="CE206" s="10">
        <f t="shared" si="269"/>
        <v>610.8018929478754</v>
      </c>
      <c r="CF206" s="10">
        <f t="shared" si="270"/>
        <v>2188.7934567987554</v>
      </c>
      <c r="CG206" s="10">
        <f t="shared" si="271"/>
        <v>1577.99156385088</v>
      </c>
      <c r="CI206" s="44">
        <v>0.4282</v>
      </c>
      <c r="CJ206" s="10">
        <f t="shared" si="272"/>
        <v>-937.24</v>
      </c>
      <c r="CK206" s="4">
        <f t="shared" si="277"/>
        <v>0</v>
      </c>
      <c r="CM206" s="10">
        <f t="shared" si="278"/>
        <v>-285555.8499461884</v>
      </c>
      <c r="CN206" s="4">
        <f t="shared" si="279"/>
        <v>-409.29671825620335</v>
      </c>
    </row>
    <row r="207" spans="1:92" ht="15.75">
      <c r="A207" s="36"/>
      <c r="B207" s="37">
        <v>43405</v>
      </c>
      <c r="C207" s="77">
        <f t="shared" si="260"/>
        <v>3.7808</v>
      </c>
      <c r="D207" s="79">
        <f>C207*(1+Podsumowanie!E$11)</f>
        <v>3.8942240000000004</v>
      </c>
      <c r="E207" s="34">
        <f>Z207</f>
        <v>-563.3279938145834</v>
      </c>
      <c r="F207" s="7">
        <f>E207*D207</f>
        <v>-2193.7253933846023</v>
      </c>
      <c r="G207" s="7">
        <f>U207</f>
        <v>-1242.4683365655312</v>
      </c>
      <c r="H207" s="7">
        <f>G207-F207</f>
        <v>951.2570568190711</v>
      </c>
      <c r="I207" s="32"/>
      <c r="K207" s="4">
        <f>IF(B207&lt;Podsumowanie!E$7,0,K206+1)</f>
        <v>137</v>
      </c>
      <c r="L207" s="100">
        <f t="shared" si="261"/>
        <v>-0.0074</v>
      </c>
      <c r="M207" s="38">
        <f>L207+Podsumowanie!E$6</f>
        <v>0.0046</v>
      </c>
      <c r="N207" s="101">
        <f>MAX(Podsumowanie!E$4+SUM(AA$5:AA206)-SUM(X$5:X207)+SUM(W$5:W207),0)</f>
        <v>121414.29396525666</v>
      </c>
      <c r="O207" s="102">
        <f>MAX(Podsumowanie!E$2+SUM(V$5:V206)-SUM(S$5:S207)+SUM(R$5:R207),0)</f>
        <v>267789.6669696545</v>
      </c>
      <c r="P207" s="39">
        <f t="shared" si="192"/>
        <v>360</v>
      </c>
      <c r="Q207" s="40" t="str">
        <f>IF(AND(K207&gt;0,K207&lt;=Podsumowanie!E$9),"tak","nie")</f>
        <v>nie</v>
      </c>
      <c r="R207" s="41"/>
      <c r="S207" s="42"/>
      <c r="T207" s="88">
        <f>IF(AB207=1,-O207*M207/12,0)</f>
        <v>-102.6527056717009</v>
      </c>
      <c r="U207" s="89">
        <f>IF(Q207="tak",T207,IF(P207-SUM(AB$5:AB207)+1&gt;0,IF(Podsumowanie!E$7&lt;B207,IF(SUM(AB$5:AB207)-Podsumowanie!E$9+1&gt;0,PMT(M207/12,P207+1-SUM(AB$5:AB207),O207),T207),0),0))</f>
        <v>-1242.4683365655312</v>
      </c>
      <c r="V207" s="89">
        <f>U207-T207</f>
        <v>-1139.8156308938303</v>
      </c>
      <c r="W207" s="90" t="str">
        <f>IF(R207&gt;0,R207/(C207*(1-Podsumowanie!E$11))," ")</f>
        <v xml:space="preserve"> </v>
      </c>
      <c r="X207" s="90">
        <f t="shared" si="266"/>
        <v>0</v>
      </c>
      <c r="Y207" s="91">
        <f>IF(AB207=1,-N207*M207/12,0)</f>
        <v>-46.54214602001505</v>
      </c>
      <c r="Z207" s="90">
        <f>IF(P207-SUM(AB$5:AB207)+1&gt;0,IF(Podsumowanie!E$7&lt;B207,IF(SUM(AB$5:AB207)-Podsumowanie!E$9+1&gt;0,PMT(M207/12,P207+1-SUM(AB$5:AB207),N207),Y207),0),0)</f>
        <v>-563.3279938145834</v>
      </c>
      <c r="AA207" s="90">
        <f>Z207-Y207</f>
        <v>-516.7858477945683</v>
      </c>
      <c r="AB207" s="8">
        <f>IF(AND(Podsumowanie!E$7&lt;B207,SUM(AB$5:AB206)&lt;P206),1," ")</f>
        <v>1</v>
      </c>
      <c r="AD207" s="51">
        <f>IF(OR(B207&lt;Podsumowanie!E$12,Podsumowanie!E$12=""),-F207+S207,0)</f>
        <v>0</v>
      </c>
      <c r="AE207" s="51">
        <f t="shared" si="267"/>
        <v>563.3279938145834</v>
      </c>
      <c r="AG207" s="10">
        <f>Podsumowanie!E$4-SUM(AI$5:AI206)+SUM(W$42:W207)-SUM(X$42:X207)</f>
        <v>113159.19813555229</v>
      </c>
      <c r="AH207" s="10">
        <f>IF(AB207=1,ROUND(AG207*M207/12,2),0)</f>
        <v>43.38</v>
      </c>
      <c r="AI207" s="10">
        <f>IF(Q207="tak",0,IF(AB207=1,ROUND(AG207/(P207-K207+1),2),0))</f>
        <v>505.17</v>
      </c>
      <c r="AJ207" s="10">
        <f>AI207+AH207</f>
        <v>548.5500000000001</v>
      </c>
      <c r="AK207" s="10">
        <f t="shared" si="301"/>
        <v>2136.18</v>
      </c>
      <c r="AL207" s="10">
        <f>Podsumowanie!E$2-SUM(AN$5:AN206)+SUM(R$42:R207)-SUM(S$42:S207)</f>
        <v>249581.9199999998</v>
      </c>
      <c r="AM207" s="10">
        <f>IF(AB207=1,ROUND(AL207*M207/12,2),0)</f>
        <v>95.67</v>
      </c>
      <c r="AN207" s="10">
        <f>IF(Q207="tak",0,IF(AB207=1,ROUND(AL207/(P207-K207+1),2),0))</f>
        <v>1114.21</v>
      </c>
      <c r="AO207" s="10">
        <f>AN207+AM207</f>
        <v>1209.88</v>
      </c>
      <c r="AP207" s="10">
        <f>AK207-AO207</f>
        <v>926.2999999999997</v>
      </c>
      <c r="AR207" s="43">
        <f t="shared" si="302"/>
        <v>43405</v>
      </c>
      <c r="AS207" s="11">
        <f>AS$5+SUM(AV$5:AV206)-SUM(X$5:X207)+SUM(W$5:W207)</f>
        <v>117771.86514629895</v>
      </c>
      <c r="AT207" s="10">
        <f>IF(AB207=1,-AS207*M207/12,0)</f>
        <v>-45.1458816394146</v>
      </c>
      <c r="AU207" s="10">
        <f>IF(AB207=1,IF(Q207="tak",AT207,PMT(M207/12,P207+1-SUM(AB$5:AB207),AS207)),0)</f>
        <v>-546.4281540001458</v>
      </c>
      <c r="AV207" s="10">
        <f t="shared" si="304"/>
        <v>-501.2822723607312</v>
      </c>
      <c r="AW207" s="10">
        <f t="shared" si="187"/>
        <v>-2065.935564643751</v>
      </c>
      <c r="AY207" s="11">
        <f>AY$5+SUM(BA$5:BA206)+SUM(W$5:W206)-SUM(X$5:X206)</f>
        <v>109764.26719148581</v>
      </c>
      <c r="AZ207" s="11">
        <f>IF(AB207=1,-AS207*M207/12,0)</f>
        <v>-45.1458816394146</v>
      </c>
      <c r="BA207" s="11">
        <f>IF(AB207=1,IF(Q207="tak",0,ROUND(-AY207/(P207-K207+1),2)),0)</f>
        <v>-490.02</v>
      </c>
      <c r="BB207" s="11">
        <f>BA207+AZ207</f>
        <v>-535.1658816394146</v>
      </c>
      <c r="BC207" s="11">
        <f t="shared" si="303"/>
        <v>-2023.3551653022987</v>
      </c>
      <c r="BE207" s="172">
        <f t="shared" si="262"/>
        <v>0.0172</v>
      </c>
      <c r="BF207" s="44">
        <f>BE207+Podsumowanie!$E$6</f>
        <v>0.0292</v>
      </c>
      <c r="BG207" s="11">
        <f>BG$5+SUM(BH$5:BH206)+SUM(R$5:R206)-SUM(S$5:S206)</f>
        <v>306437.15466204146</v>
      </c>
      <c r="BH207" s="10">
        <f>IF(BJ207&lt;0,BJ207-BI207,0)</f>
        <v>-1024.57882968902</v>
      </c>
      <c r="BI207" s="10">
        <f>IF(BJ207&lt;0,-BG207*BF207/12,0)</f>
        <v>-745.6637430109676</v>
      </c>
      <c r="BJ207" s="10">
        <f>IF(U207&lt;0,PMT(BF207/12,Podsumowanie!E$8-SUM(AB$5:AB207)+1,BG207),0)</f>
        <v>-1770.2425726999875</v>
      </c>
      <c r="BL207" s="11">
        <f>BL$5+SUM(BN$5:BN206)+SUM(R$5:R206)-SUM(S$5:S206)</f>
        <v>249582.1727019498</v>
      </c>
      <c r="BM207" s="11">
        <f t="shared" si="216"/>
        <v>-607.3166202414112</v>
      </c>
      <c r="BN207" s="11">
        <f t="shared" si="217"/>
        <v>-1114.2061281337044</v>
      </c>
      <c r="BO207" s="11">
        <f t="shared" si="191"/>
        <v>-1721.5227483751155</v>
      </c>
      <c r="BQ207" s="44">
        <f t="shared" si="263"/>
        <v>0.0293</v>
      </c>
      <c r="BR207" s="11">
        <f>BR$5+SUM(BS$5:BS206)+SUM(R$5:R206)-SUM(S$5:S206)+SUM(BV$5:BV206)</f>
        <v>318625.81323220365</v>
      </c>
      <c r="BS207" s="10">
        <f t="shared" si="273"/>
        <v>-1064.2500084104208</v>
      </c>
      <c r="BT207" s="10">
        <f t="shared" si="274"/>
        <v>-777.9780273086307</v>
      </c>
      <c r="BU207" s="10">
        <f>IF(U207&lt;0,PMT(BQ207/12,Podsumowanie!E$8-SUM(AB$5:AB207)+1,BR207),0)</f>
        <v>-1842.2280357190514</v>
      </c>
      <c r="BV207" s="10">
        <f t="shared" si="268"/>
        <v>-351.4973576655509</v>
      </c>
      <c r="BX207" s="11">
        <f>BX$5+SUM(BZ$5:BZ206)+SUM(R$5:R206)-SUM(S$5:S206)+SUM(CB$5,CB206)</f>
        <v>249064.10836650865</v>
      </c>
      <c r="BY207" s="10">
        <f t="shared" si="264"/>
        <v>-608.1315312615586</v>
      </c>
      <c r="BZ207" s="10">
        <f t="shared" si="265"/>
        <v>-1111.8933409219137</v>
      </c>
      <c r="CA207" s="10">
        <f t="shared" si="275"/>
        <v>-1720.0248721834723</v>
      </c>
      <c r="CB207" s="10">
        <f t="shared" si="276"/>
        <v>-473.70052120112996</v>
      </c>
      <c r="CD207" s="10">
        <f>CD$5+SUM(CE$5:CE206)+SUM(R$5:R206)-SUM(S$5:S206)-SUM(CF$5:CF206)</f>
        <v>291064.81209563254</v>
      </c>
      <c r="CE207" s="10">
        <f t="shared" si="269"/>
        <v>608.1315312615586</v>
      </c>
      <c r="CF207" s="10">
        <f t="shared" si="270"/>
        <v>2193.7253933846023</v>
      </c>
      <c r="CG207" s="10">
        <f t="shared" si="271"/>
        <v>1585.5938621230437</v>
      </c>
      <c r="CI207" s="44">
        <v>0.4225</v>
      </c>
      <c r="CJ207" s="10">
        <f t="shared" si="272"/>
        <v>-926.85</v>
      </c>
      <c r="CK207" s="4">
        <f t="shared" si="277"/>
        <v>0</v>
      </c>
      <c r="CM207" s="10">
        <f t="shared" si="278"/>
        <v>-287749.57533957297</v>
      </c>
      <c r="CN207" s="4">
        <f t="shared" si="279"/>
        <v>-412.44105798672126</v>
      </c>
    </row>
    <row r="208" spans="1:92" ht="15.75">
      <c r="A208" s="36"/>
      <c r="B208" s="37">
        <v>43435</v>
      </c>
      <c r="C208" s="77">
        <f t="shared" si="260"/>
        <v>3.7975</v>
      </c>
      <c r="D208" s="79">
        <f>C208*(1+Podsumowanie!E$11)</f>
        <v>3.911425</v>
      </c>
      <c r="E208" s="34">
        <f>Z208</f>
        <v>-563.3279938145834</v>
      </c>
      <c r="F208" s="7">
        <f>E208*D208</f>
        <v>-2203.4151982062067</v>
      </c>
      <c r="G208" s="7">
        <f>U208</f>
        <v>-1242.4683365655314</v>
      </c>
      <c r="H208" s="7">
        <f>G208-F208</f>
        <v>960.9468616406753</v>
      </c>
      <c r="I208" s="32"/>
      <c r="K208" s="4">
        <f>IF(B208&lt;Podsumowanie!E$7,0,K207+1)</f>
        <v>138</v>
      </c>
      <c r="L208" s="100">
        <f t="shared" si="261"/>
        <v>-0.0074</v>
      </c>
      <c r="M208" s="38">
        <f>L208+Podsumowanie!E$6</f>
        <v>0.0046</v>
      </c>
      <c r="N208" s="101">
        <f>MAX(Podsumowanie!E$4+SUM(AA$5:AA207)-SUM(X$5:X208)+SUM(W$5:W208),0)</f>
        <v>120897.50811746209</v>
      </c>
      <c r="O208" s="102">
        <f>MAX(Podsumowanie!E$2+SUM(V$5:V207)-SUM(S$5:S208)+SUM(R$5:R208),0)</f>
        <v>266649.8513387607</v>
      </c>
      <c r="P208" s="39">
        <f t="shared" si="192"/>
        <v>360</v>
      </c>
      <c r="Q208" s="40" t="str">
        <f>IF(AND(K208&gt;0,K208&lt;=Podsumowanie!E$9),"tak","nie")</f>
        <v>nie</v>
      </c>
      <c r="R208" s="41"/>
      <c r="S208" s="42"/>
      <c r="T208" s="88">
        <f>IF(AB208=1,-O208*M208/12,0)</f>
        <v>-102.21577634652493</v>
      </c>
      <c r="U208" s="89">
        <f>IF(Q208="tak",T208,IF(P208-SUM(AB$5:AB208)+1&gt;0,IF(Podsumowanie!E$7&lt;B208,IF(SUM(AB$5:AB208)-Podsumowanie!E$9+1&gt;0,PMT(M208/12,P208+1-SUM(AB$5:AB208),O208),T208),0),0))</f>
        <v>-1242.4683365655314</v>
      </c>
      <c r="V208" s="89">
        <f>U208-T208</f>
        <v>-1140.2525602190065</v>
      </c>
      <c r="W208" s="90" t="str">
        <f>IF(R208&gt;0,R208/(C208*(1-Podsumowanie!E$11))," ")</f>
        <v xml:space="preserve"> </v>
      </c>
      <c r="X208" s="90">
        <f t="shared" si="266"/>
        <v>0</v>
      </c>
      <c r="Y208" s="91">
        <f>IF(AB208=1,-N208*M208/12,0)</f>
        <v>-46.34404477836046</v>
      </c>
      <c r="Z208" s="90">
        <f>IF(P208-SUM(AB$5:AB208)+1&gt;0,IF(Podsumowanie!E$7&lt;B208,IF(SUM(AB$5:AB208)-Podsumowanie!E$9+1&gt;0,PMT(M208/12,P208+1-SUM(AB$5:AB208),N208),Y208),0),0)</f>
        <v>-563.3279938145834</v>
      </c>
      <c r="AA208" s="90">
        <f>Z208-Y208</f>
        <v>-516.9839490362228</v>
      </c>
      <c r="AB208" s="8">
        <f>IF(AND(Podsumowanie!E$7&lt;B208,SUM(AB$5:AB207)&lt;P207),1," ")</f>
        <v>1</v>
      </c>
      <c r="AD208" s="51">
        <f>IF(OR(B208&lt;Podsumowanie!E$12,Podsumowanie!E$12=""),-F208+S208,0)</f>
        <v>0</v>
      </c>
      <c r="AE208" s="51">
        <f t="shared" si="267"/>
        <v>563.3279938145834</v>
      </c>
      <c r="AG208" s="10">
        <f>Podsumowanie!E$4-SUM(AI$5:AI207)+SUM(W$42:W208)-SUM(X$42:X208)</f>
        <v>112654.02813555229</v>
      </c>
      <c r="AH208" s="10">
        <f>IF(AB208=1,ROUND(AG208*M208/12,2),0)</f>
        <v>43.18</v>
      </c>
      <c r="AI208" s="10">
        <f>IF(Q208="tak",0,IF(AB208=1,ROUND(AG208/(P208-K208+1),2),0))</f>
        <v>505.18</v>
      </c>
      <c r="AJ208" s="10">
        <f>AI208+AH208</f>
        <v>548.36</v>
      </c>
      <c r="AK208" s="10">
        <f t="shared" si="301"/>
        <v>2144.87</v>
      </c>
      <c r="AL208" s="10">
        <f>Podsumowanie!E$2-SUM(AN$5:AN207)+SUM(R$42:R208)-SUM(S$42:S208)</f>
        <v>248467.70999999982</v>
      </c>
      <c r="AM208" s="10">
        <f>IF(AB208=1,ROUND(AL208*M208/12,2),0)</f>
        <v>95.25</v>
      </c>
      <c r="AN208" s="10">
        <f>IF(Q208="tak",0,IF(AB208=1,ROUND(AL208/(P208-K208+1),2),0))</f>
        <v>1114.2</v>
      </c>
      <c r="AO208" s="10">
        <f>AN208+AM208</f>
        <v>1209.45</v>
      </c>
      <c r="AP208" s="10">
        <f>AK208-AO208</f>
        <v>935.4199999999998</v>
      </c>
      <c r="AR208" s="43">
        <f t="shared" si="302"/>
        <v>43435</v>
      </c>
      <c r="AS208" s="11">
        <f>AS$5+SUM(AV$5:AV207)-SUM(X$5:X208)+SUM(W$5:W208)</f>
        <v>117270.58287393821</v>
      </c>
      <c r="AT208" s="10">
        <f>IF(AB208=1,-AS208*M208/12,0)</f>
        <v>-44.95372343500964</v>
      </c>
      <c r="AU208" s="10">
        <f>IF(AB208=1,IF(Q208="tak",AT208,PMT(M208/12,P208+1-SUM(AB$5:AB208),AS208)),0)</f>
        <v>-546.4281540001458</v>
      </c>
      <c r="AV208" s="10">
        <f t="shared" si="304"/>
        <v>-501.4744305651362</v>
      </c>
      <c r="AW208" s="10">
        <f t="shared" si="187"/>
        <v>-2075.0609148155536</v>
      </c>
      <c r="AY208" s="11">
        <f>AY$5+SUM(BA$5:BA207)+SUM(W$5:W207)-SUM(X$5:X207)</f>
        <v>109274.2471914858</v>
      </c>
      <c r="AZ208" s="11">
        <f>IF(AB208=1,-AS208*M208/12,0)</f>
        <v>-44.95372343500964</v>
      </c>
      <c r="BA208" s="11">
        <f>IF(AB208=1,IF(Q208="tak",0,ROUND(-AY208/(P208-K208+1),2)),0)</f>
        <v>-490.02</v>
      </c>
      <c r="BB208" s="11">
        <f>BA208+AZ208</f>
        <v>-534.9737234350097</v>
      </c>
      <c r="BC208" s="11">
        <f t="shared" si="303"/>
        <v>-2031.562714744449</v>
      </c>
      <c r="BE208" s="172">
        <f t="shared" si="262"/>
        <v>0.0172</v>
      </c>
      <c r="BF208" s="44">
        <f>BE208+Podsumowanie!$E$6</f>
        <v>0.0292</v>
      </c>
      <c r="BG208" s="11">
        <f>BG$5+SUM(BH$5:BH207)+SUM(R$5:R207)-SUM(S$5:S207)</f>
        <v>305412.57583235245</v>
      </c>
      <c r="BH208" s="10">
        <f>IF(BJ208&lt;0,BJ208-BI208,0)</f>
        <v>-1027.07197150793</v>
      </c>
      <c r="BI208" s="10">
        <f>IF(BJ208&lt;0,-BG208*BF208/12,0)</f>
        <v>-743.1706011920577</v>
      </c>
      <c r="BJ208" s="10">
        <f>IF(U208&lt;0,PMT(BF208/12,Podsumowanie!E$8-SUM(AB$5:AB208)+1,BG208),0)</f>
        <v>-1770.2425726999877</v>
      </c>
      <c r="BL208" s="11">
        <f>BL$5+SUM(BN$5:BN207)+SUM(R$5:R207)-SUM(S$5:S207)</f>
        <v>248467.9665738161</v>
      </c>
      <c r="BM208" s="11">
        <f t="shared" si="216"/>
        <v>-604.6053853296193</v>
      </c>
      <c r="BN208" s="11">
        <f t="shared" si="217"/>
        <v>-1114.2061281337046</v>
      </c>
      <c r="BO208" s="11">
        <f t="shared" si="191"/>
        <v>-1718.811513463324</v>
      </c>
      <c r="BQ208" s="44">
        <f t="shared" si="263"/>
        <v>0.0293</v>
      </c>
      <c r="BR208" s="11">
        <f>BR$5+SUM(BS$5:BS207)+SUM(R$5:R207)-SUM(S$5:S207)+SUM(BV$5:BV207)</f>
        <v>317210.06586612767</v>
      </c>
      <c r="BS208" s="10">
        <f t="shared" si="273"/>
        <v>-1065.6676962759973</v>
      </c>
      <c r="BT208" s="10">
        <f t="shared" si="274"/>
        <v>-774.5212441564618</v>
      </c>
      <c r="BU208" s="10">
        <f>IF(U208&lt;0,PMT(BQ208/12,Podsumowanie!E$8-SUM(AB$5:AB208)+1,BR208),0)</f>
        <v>-1840.188940432459</v>
      </c>
      <c r="BV208" s="10">
        <f t="shared" si="268"/>
        <v>-363.22625777374765</v>
      </c>
      <c r="BX208" s="11">
        <f>BX$5+SUM(BZ$5:BZ207)+SUM(R$5:R207)-SUM(S$5:S207)+SUM(CB$5,CB207)</f>
        <v>247944.69374887744</v>
      </c>
      <c r="BY208" s="10">
        <f t="shared" si="264"/>
        <v>-605.398293903509</v>
      </c>
      <c r="BZ208" s="10">
        <f t="shared" si="265"/>
        <v>-1111.8596132236657</v>
      </c>
      <c r="CA208" s="10">
        <f t="shared" si="275"/>
        <v>-1717.2579071271748</v>
      </c>
      <c r="CB208" s="10">
        <f t="shared" si="276"/>
        <v>-486.1572910790319</v>
      </c>
      <c r="CD208" s="10">
        <f>CD$5+SUM(CE$5:CE207)+SUM(R$5:R207)-SUM(S$5:S207)-SUM(CF$5:CF207)</f>
        <v>289479.2182335096</v>
      </c>
      <c r="CE208" s="10">
        <f t="shared" si="269"/>
        <v>605.398293903509</v>
      </c>
      <c r="CF208" s="10">
        <f t="shared" si="270"/>
        <v>2203.4151982062067</v>
      </c>
      <c r="CG208" s="10">
        <f t="shared" si="271"/>
        <v>1598.0169043026976</v>
      </c>
      <c r="CI208" s="44">
        <v>0.4225</v>
      </c>
      <c r="CJ208" s="10">
        <f t="shared" si="272"/>
        <v>-930.94</v>
      </c>
      <c r="CK208" s="4">
        <f t="shared" si="277"/>
        <v>0</v>
      </c>
      <c r="CM208" s="10">
        <f t="shared" si="278"/>
        <v>-289952.9905377792</v>
      </c>
      <c r="CN208" s="4">
        <f t="shared" si="279"/>
        <v>-415.5992864374835</v>
      </c>
    </row>
    <row r="209" spans="1:92" ht="15.75">
      <c r="A209" s="36">
        <v>2019</v>
      </c>
      <c r="B209" s="37">
        <v>43466</v>
      </c>
      <c r="C209" s="77">
        <f t="shared" si="260"/>
        <v>3.8033</v>
      </c>
      <c r="D209" s="79">
        <f>C209*(1+Podsumowanie!E$11)</f>
        <v>3.917399</v>
      </c>
      <c r="E209" s="34">
        <f aca="true" t="shared" si="305" ref="E209:E214">Z209</f>
        <v>-563.3279938145834</v>
      </c>
      <c r="F209" s="7">
        <f aca="true" t="shared" si="306" ref="F209:F214">E209*D209</f>
        <v>-2206.780519641255</v>
      </c>
      <c r="G209" s="7">
        <f aca="true" t="shared" si="307" ref="G209:G214">U209</f>
        <v>-1242.4683365655312</v>
      </c>
      <c r="H209" s="7">
        <f aca="true" t="shared" si="308" ref="H209:H214">G209-F209</f>
        <v>964.3121830757239</v>
      </c>
      <c r="I209" s="32"/>
      <c r="K209" s="4">
        <f>IF(B209&lt;Podsumowanie!E$7,0,K208+1)</f>
        <v>139</v>
      </c>
      <c r="L209" s="100">
        <f t="shared" si="261"/>
        <v>-0.0074</v>
      </c>
      <c r="M209" s="38">
        <f>L209+Podsumowanie!E$6</f>
        <v>0.0046</v>
      </c>
      <c r="N209" s="101">
        <f>MAX(Podsumowanie!E$4+SUM(AA$5:AA208)-SUM(X$5:X209)+SUM(W$5:W209),0)</f>
        <v>120380.52416842587</v>
      </c>
      <c r="O209" s="102">
        <f>MAX(Podsumowanie!E$2+SUM(V$5:V208)-SUM(S$5:S209)+SUM(R$5:R209),0)</f>
        <v>265509.59877854167</v>
      </c>
      <c r="P209" s="39">
        <f t="shared" si="192"/>
        <v>360</v>
      </c>
      <c r="Q209" s="40" t="str">
        <f>IF(AND(K209&gt;0,K209&lt;=Podsumowanie!E$9),"tak","nie")</f>
        <v>nie</v>
      </c>
      <c r="R209" s="41"/>
      <c r="S209" s="42"/>
      <c r="T209" s="88">
        <f aca="true" t="shared" si="309" ref="T209:T214">IF(AB209=1,-O209*M209/12,0)</f>
        <v>-101.7786795317743</v>
      </c>
      <c r="U209" s="89">
        <f>IF(Q209="tak",T209,IF(P209-SUM(AB$5:AB209)+1&gt;0,IF(Podsumowanie!E$7&lt;B209,IF(SUM(AB$5:AB209)-Podsumowanie!E$9+1&gt;0,PMT(M209/12,P209+1-SUM(AB$5:AB209),O209),T209),0),0))</f>
        <v>-1242.4683365655312</v>
      </c>
      <c r="V209" s="89">
        <f aca="true" t="shared" si="310" ref="V209:V214">U209-T209</f>
        <v>-1140.689657033757</v>
      </c>
      <c r="W209" s="90" t="str">
        <f>IF(R209&gt;0,R209/(C209*(1-Podsumowanie!E$11))," ")</f>
        <v xml:space="preserve"> </v>
      </c>
      <c r="X209" s="90">
        <f t="shared" si="266"/>
        <v>0</v>
      </c>
      <c r="Y209" s="91">
        <f aca="true" t="shared" si="311" ref="Y209:Y214">IF(AB209=1,-N209*M209/12,0)</f>
        <v>-46.145867597896576</v>
      </c>
      <c r="Z209" s="90">
        <f>IF(P209-SUM(AB$5:AB209)+1&gt;0,IF(Podsumowanie!E$7&lt;B209,IF(SUM(AB$5:AB209)-Podsumowanie!E$9+1&gt;0,PMT(M209/12,P209+1-SUM(AB$5:AB209),N209),Y209),0),0)</f>
        <v>-563.3279938145834</v>
      </c>
      <c r="AA209" s="90">
        <f aca="true" t="shared" si="312" ref="AA209:AA214">Z209-Y209</f>
        <v>-517.1821262166868</v>
      </c>
      <c r="AB209" s="8">
        <f>IF(AND(Podsumowanie!E$7&lt;B209,SUM(AB$5:AB208)&lt;P208),1," ")</f>
        <v>1</v>
      </c>
      <c r="AD209" s="51">
        <f>IF(OR(B209&lt;Podsumowanie!E$12,Podsumowanie!E$12=""),-F209+S209,0)</f>
        <v>0</v>
      </c>
      <c r="AE209" s="51">
        <f t="shared" si="267"/>
        <v>563.3279938145834</v>
      </c>
      <c r="AG209" s="10">
        <f>Podsumowanie!E$4-SUM(AI$5:AI208)+SUM(W$42:W209)-SUM(X$42:X209)</f>
        <v>112148.8481355523</v>
      </c>
      <c r="AH209" s="10">
        <f aca="true" t="shared" si="313" ref="AH209:AH214">IF(AB209=1,ROUND(AG209*M209/12,2),0)</f>
        <v>42.99</v>
      </c>
      <c r="AI209" s="10">
        <f aca="true" t="shared" si="314" ref="AI209:AI214">IF(Q209="tak",0,IF(AB209=1,ROUND(AG209/(P209-K209+1),2),0))</f>
        <v>505.17</v>
      </c>
      <c r="AJ209" s="10">
        <f aca="true" t="shared" si="315" ref="AJ209:AJ214">AI209+AH209</f>
        <v>548.16</v>
      </c>
      <c r="AK209" s="10">
        <f t="shared" si="301"/>
        <v>2147.36</v>
      </c>
      <c r="AL209" s="10">
        <f>Podsumowanie!E$2-SUM(AN$5:AN208)+SUM(R$42:R209)-SUM(S$42:S209)</f>
        <v>247353.5099999998</v>
      </c>
      <c r="AM209" s="10">
        <f aca="true" t="shared" si="316" ref="AM209:AM214">IF(AB209=1,ROUND(AL209*M209/12,2),0)</f>
        <v>94.82</v>
      </c>
      <c r="AN209" s="10">
        <f aca="true" t="shared" si="317" ref="AN209:AN214">IF(Q209="tak",0,IF(AB209=1,ROUND(AL209/(P209-K209+1),2),0))</f>
        <v>1114.21</v>
      </c>
      <c r="AO209" s="10">
        <f aca="true" t="shared" si="318" ref="AO209:AO214">AN209+AM209</f>
        <v>1209.03</v>
      </c>
      <c r="AP209" s="10">
        <f aca="true" t="shared" si="319" ref="AP209:AP214">AK209-AO209</f>
        <v>938.3300000000002</v>
      </c>
      <c r="AR209" s="43">
        <f t="shared" si="302"/>
        <v>43466</v>
      </c>
      <c r="AS209" s="11">
        <f>AS$5+SUM(AV$5:AV208)-SUM(X$5:X209)+SUM(W$5:W209)</f>
        <v>116769.10844337309</v>
      </c>
      <c r="AT209" s="10">
        <f aca="true" t="shared" si="320" ref="AT209:AT214">IF(AB209=1,-AS209*M209/12,0)</f>
        <v>-44.76149156995968</v>
      </c>
      <c r="AU209" s="10">
        <f>IF(AB209=1,IF(Q209="tak",AT209,PMT(M209/12,P209+1-SUM(AB$5:AB209),AS209)),0)</f>
        <v>-546.4281540001458</v>
      </c>
      <c r="AV209" s="10">
        <f aca="true" t="shared" si="321" ref="AV209:AV214">AU209-AT209</f>
        <v>-501.66666243018614</v>
      </c>
      <c r="AW209" s="10">
        <f t="shared" si="187"/>
        <v>-2078.230198108755</v>
      </c>
      <c r="AY209" s="11">
        <f>AY$5+SUM(BA$5:BA208)+SUM(W$5:W208)-SUM(X$5:X208)</f>
        <v>108784.2271914858</v>
      </c>
      <c r="AZ209" s="11">
        <f aca="true" t="shared" si="322" ref="AZ209:AZ214">IF(AB209=1,-AS209*M209/12,0)</f>
        <v>-44.76149156995968</v>
      </c>
      <c r="BA209" s="11">
        <f aca="true" t="shared" si="323" ref="BA209:BA214">IF(AB209=1,IF(Q209="tak",0,ROUND(-AY209/(P209-K209+1),2)),0)</f>
        <v>-490.02</v>
      </c>
      <c r="BB209" s="11">
        <f aca="true" t="shared" si="324" ref="BB209:BB214">BA209+AZ209</f>
        <v>-534.7814915699597</v>
      </c>
      <c r="BC209" s="11">
        <f t="shared" si="303"/>
        <v>-2033.9344468880279</v>
      </c>
      <c r="BE209" s="172">
        <f t="shared" si="262"/>
        <v>0.0172</v>
      </c>
      <c r="BF209" s="44">
        <f>BE209+Podsumowanie!$E$6</f>
        <v>0.0292</v>
      </c>
      <c r="BG209" s="11">
        <f>BG$5+SUM(BH$5:BH208)+SUM(R$5:R208)-SUM(S$5:S208)</f>
        <v>304385.50386084453</v>
      </c>
      <c r="BH209" s="10">
        <f aca="true" t="shared" si="325" ref="BH209:BH214">IF(BJ209&lt;0,BJ209-BI209,0)</f>
        <v>-1029.571179971933</v>
      </c>
      <c r="BI209" s="10">
        <f aca="true" t="shared" si="326" ref="BI209:BI214">IF(BJ209&lt;0,-BG209*BF209/12,0)</f>
        <v>-740.6713927280551</v>
      </c>
      <c r="BJ209" s="10">
        <f>IF(U209&lt;0,PMT(BF209/12,Podsumowanie!E$8-SUM(AB$5:AB209)+1,BG209),0)</f>
        <v>-1770.242572699988</v>
      </c>
      <c r="BL209" s="11">
        <f>BL$5+SUM(BN$5:BN208)+SUM(R$5:R208)-SUM(S$5:S208)</f>
        <v>247353.76044568242</v>
      </c>
      <c r="BM209" s="11">
        <f t="shared" si="216"/>
        <v>-601.8941504178273</v>
      </c>
      <c r="BN209" s="11">
        <f t="shared" si="217"/>
        <v>-1114.2061281337046</v>
      </c>
      <c r="BO209" s="11">
        <f t="shared" si="191"/>
        <v>-1716.100278551532</v>
      </c>
      <c r="BQ209" s="44">
        <f t="shared" si="263"/>
        <v>0.0293</v>
      </c>
      <c r="BR209" s="11">
        <f>BR$5+SUM(BS$5:BS208)+SUM(R$5:R208)-SUM(S$5:S208)+SUM(BV$5:BV208)</f>
        <v>315781.17191207793</v>
      </c>
      <c r="BS209" s="10">
        <f t="shared" si="273"/>
        <v>-1067.0423396146562</v>
      </c>
      <c r="BT209" s="10">
        <f t="shared" si="274"/>
        <v>-771.0323614186569</v>
      </c>
      <c r="BU209" s="10">
        <f>IF(U209&lt;0,PMT(BQ209/12,Podsumowanie!E$8-SUM(AB$5:AB209)+1,BR209),0)</f>
        <v>-1838.0747010333132</v>
      </c>
      <c r="BV209" s="10">
        <f t="shared" si="268"/>
        <v>-368.70581860794186</v>
      </c>
      <c r="BX209" s="11">
        <f>BX$5+SUM(BZ$5:BZ208)+SUM(R$5:R208)-SUM(S$5:S208)+SUM(CB$5,CB208)</f>
        <v>246820.37736577587</v>
      </c>
      <c r="BY209" s="10">
        <f t="shared" si="264"/>
        <v>-602.6530880681028</v>
      </c>
      <c r="BZ209" s="10">
        <f t="shared" si="265"/>
        <v>-1111.803501647639</v>
      </c>
      <c r="CA209" s="10">
        <f t="shared" si="275"/>
        <v>-1714.4565897157418</v>
      </c>
      <c r="CB209" s="10">
        <f t="shared" si="276"/>
        <v>-492.3239299255133</v>
      </c>
      <c r="CD209" s="10">
        <f>CD$5+SUM(CE$5:CE208)+SUM(R$5:R208)-SUM(S$5:S208)-SUM(CF$5:CF208)</f>
        <v>287881.2013292068</v>
      </c>
      <c r="CE209" s="10">
        <f t="shared" si="269"/>
        <v>602.6530880681028</v>
      </c>
      <c r="CF209" s="10">
        <f t="shared" si="270"/>
        <v>2206.780519641255</v>
      </c>
      <c r="CG209" s="10">
        <f t="shared" si="271"/>
        <v>1604.1274315731523</v>
      </c>
      <c r="CI209" s="44">
        <v>0.4225</v>
      </c>
      <c r="CJ209" s="10">
        <f t="shared" si="272"/>
        <v>-932.36</v>
      </c>
      <c r="CK209" s="4">
        <f t="shared" si="277"/>
        <v>0</v>
      </c>
      <c r="CM209" s="10">
        <f t="shared" si="278"/>
        <v>-292159.7710574204</v>
      </c>
      <c r="CN209" s="4">
        <f t="shared" si="279"/>
        <v>-418.7623385156359</v>
      </c>
    </row>
    <row r="210" spans="1:92" ht="15.75">
      <c r="A210" s="36"/>
      <c r="B210" s="37">
        <v>43497</v>
      </c>
      <c r="C210" s="77">
        <f t="shared" si="260"/>
        <v>3.7975</v>
      </c>
      <c r="D210" s="79">
        <f>C210*(1+Podsumowanie!E$11)</f>
        <v>3.911425</v>
      </c>
      <c r="E210" s="34">
        <f t="shared" si="305"/>
        <v>-563.3279938145834</v>
      </c>
      <c r="F210" s="7">
        <f t="shared" si="306"/>
        <v>-2203.4151982062067</v>
      </c>
      <c r="G210" s="7">
        <f t="shared" si="307"/>
        <v>-1242.4683365655312</v>
      </c>
      <c r="H210" s="7">
        <f t="shared" si="308"/>
        <v>960.9468616406755</v>
      </c>
      <c r="I210" s="32"/>
      <c r="K210" s="4">
        <f>IF(B210&lt;Podsumowanie!E$7,0,K209+1)</f>
        <v>140</v>
      </c>
      <c r="L210" s="100">
        <f t="shared" si="261"/>
        <v>-0.0074</v>
      </c>
      <c r="M210" s="38">
        <f>L210+Podsumowanie!E$6</f>
        <v>0.0046</v>
      </c>
      <c r="N210" s="101">
        <f>MAX(Podsumowanie!E$4+SUM(AA$5:AA209)-SUM(X$5:X210)+SUM(W$5:W210),0)</f>
        <v>119863.34204220917</v>
      </c>
      <c r="O210" s="102">
        <f>MAX(Podsumowanie!E$2+SUM(V$5:V209)-SUM(S$5:S210)+SUM(R$5:R210),0)</f>
        <v>264368.9091215079</v>
      </c>
      <c r="P210" s="39">
        <f t="shared" si="192"/>
        <v>360</v>
      </c>
      <c r="Q210" s="40" t="str">
        <f>IF(AND(K210&gt;0,K210&lt;=Podsumowanie!E$9),"tak","nie")</f>
        <v>nie</v>
      </c>
      <c r="R210" s="41"/>
      <c r="S210" s="42"/>
      <c r="T210" s="88">
        <f t="shared" si="309"/>
        <v>-101.34141516324469</v>
      </c>
      <c r="U210" s="89">
        <f>IF(Q210="tak",T210,IF(P210-SUM(AB$5:AB210)+1&gt;0,IF(Podsumowanie!E$7&lt;B210,IF(SUM(AB$5:AB210)-Podsumowanie!E$9+1&gt;0,PMT(M210/12,P210+1-SUM(AB$5:AB210),O210),T210),0),0))</f>
        <v>-1242.4683365655312</v>
      </c>
      <c r="V210" s="89">
        <f t="shared" si="310"/>
        <v>-1141.1269214022866</v>
      </c>
      <c r="W210" s="90" t="str">
        <f>IF(R210&gt;0,R210/(C210*(1-Podsumowanie!E$11))," ")</f>
        <v xml:space="preserve"> </v>
      </c>
      <c r="X210" s="90">
        <f t="shared" si="266"/>
        <v>0</v>
      </c>
      <c r="Y210" s="91">
        <f t="shared" si="311"/>
        <v>-45.947614449513516</v>
      </c>
      <c r="Z210" s="90">
        <f>IF(P210-SUM(AB$5:AB210)+1&gt;0,IF(Podsumowanie!E$7&lt;B210,IF(SUM(AB$5:AB210)-Podsumowanie!E$9+1&gt;0,PMT(M210/12,P210+1-SUM(AB$5:AB210),N210),Y210),0),0)</f>
        <v>-563.3279938145834</v>
      </c>
      <c r="AA210" s="90">
        <f t="shared" si="312"/>
        <v>-517.3803793650699</v>
      </c>
      <c r="AB210" s="8">
        <f>IF(AND(Podsumowanie!E$7&lt;B210,SUM(AB$5:AB209)&lt;P209),1," ")</f>
        <v>1</v>
      </c>
      <c r="AD210" s="51">
        <f>IF(OR(B210&lt;Podsumowanie!E$12,Podsumowanie!E$12=""),-F210+S210,0)</f>
        <v>0</v>
      </c>
      <c r="AE210" s="51">
        <f t="shared" si="267"/>
        <v>563.3279938145834</v>
      </c>
      <c r="AG210" s="10">
        <f>Podsumowanie!E$4-SUM(AI$5:AI209)+SUM(W$42:W210)-SUM(X$42:X210)</f>
        <v>111643.6781355523</v>
      </c>
      <c r="AH210" s="10">
        <f t="shared" si="313"/>
        <v>42.8</v>
      </c>
      <c r="AI210" s="10">
        <f t="shared" si="314"/>
        <v>505.18</v>
      </c>
      <c r="AJ210" s="10">
        <f t="shared" si="315"/>
        <v>547.98</v>
      </c>
      <c r="AK210" s="10">
        <f t="shared" si="301"/>
        <v>2143.38</v>
      </c>
      <c r="AL210" s="10">
        <f>Podsumowanie!E$2-SUM(AN$5:AN209)+SUM(R$42:R210)-SUM(S$42:S210)</f>
        <v>246239.2999999998</v>
      </c>
      <c r="AM210" s="10">
        <f t="shared" si="316"/>
        <v>94.39</v>
      </c>
      <c r="AN210" s="10">
        <f t="shared" si="317"/>
        <v>1114.2</v>
      </c>
      <c r="AO210" s="10">
        <f t="shared" si="318"/>
        <v>1208.5900000000001</v>
      </c>
      <c r="AP210" s="10">
        <f t="shared" si="319"/>
        <v>934.79</v>
      </c>
      <c r="AR210" s="43">
        <f t="shared" si="302"/>
        <v>43497</v>
      </c>
      <c r="AS210" s="11">
        <f>AS$5+SUM(AV$5:AV209)-SUM(X$5:X210)+SUM(W$5:W210)</f>
        <v>116267.4417809429</v>
      </c>
      <c r="AT210" s="10">
        <f t="shared" si="320"/>
        <v>-44.56918601602811</v>
      </c>
      <c r="AU210" s="10">
        <f>IF(AB210=1,IF(Q210="tak",AT210,PMT(M210/12,P210+1-SUM(AB$5:AB210),AS210)),0)</f>
        <v>-546.4281540001458</v>
      </c>
      <c r="AV210" s="10">
        <f t="shared" si="321"/>
        <v>-501.8589679841177</v>
      </c>
      <c r="AW210" s="10">
        <f t="shared" si="187"/>
        <v>-2075.0609148155536</v>
      </c>
      <c r="AY210" s="11">
        <f>AY$5+SUM(BA$5:BA209)+SUM(W$5:W209)-SUM(X$5:X209)</f>
        <v>108294.2071914858</v>
      </c>
      <c r="AZ210" s="11">
        <f t="shared" si="322"/>
        <v>-44.56918601602811</v>
      </c>
      <c r="BA210" s="11">
        <f t="shared" si="323"/>
        <v>-490.02</v>
      </c>
      <c r="BB210" s="11">
        <f t="shared" si="324"/>
        <v>-534.5891860160281</v>
      </c>
      <c r="BC210" s="11">
        <f t="shared" si="303"/>
        <v>-2030.1024338958666</v>
      </c>
      <c r="BE210" s="172">
        <f t="shared" si="262"/>
        <v>0.0172</v>
      </c>
      <c r="BF210" s="44">
        <f>BE210+Podsumowanie!$E$6</f>
        <v>0.0292</v>
      </c>
      <c r="BG210" s="11">
        <f>BG$5+SUM(BH$5:BH209)+SUM(R$5:R209)-SUM(S$5:S209)</f>
        <v>303355.9326808726</v>
      </c>
      <c r="BH210" s="10">
        <f t="shared" si="325"/>
        <v>-1032.0764698431979</v>
      </c>
      <c r="BI210" s="10">
        <f t="shared" si="326"/>
        <v>-738.1661028567901</v>
      </c>
      <c r="BJ210" s="10">
        <f>IF(U210&lt;0,PMT(BF210/12,Podsumowanie!E$8-SUM(AB$5:AB210)+1,BG210),0)</f>
        <v>-1770.242572699988</v>
      </c>
      <c r="BL210" s="11">
        <f>BL$5+SUM(BN$5:BN209)+SUM(R$5:R209)-SUM(S$5:S209)</f>
        <v>246239.55431754873</v>
      </c>
      <c r="BM210" s="11">
        <f t="shared" si="216"/>
        <v>-599.1829155060352</v>
      </c>
      <c r="BN210" s="11">
        <f t="shared" si="217"/>
        <v>-1114.2061281337046</v>
      </c>
      <c r="BO210" s="11">
        <f t="shared" si="191"/>
        <v>-1713.3890436397398</v>
      </c>
      <c r="BQ210" s="44">
        <f t="shared" si="263"/>
        <v>0.0293</v>
      </c>
      <c r="BR210" s="11">
        <f>BR$5+SUM(BS$5:BS209)+SUM(R$5:R209)-SUM(S$5:S209)+SUM(BV$5:BV209)</f>
        <v>314345.42375385534</v>
      </c>
      <c r="BS210" s="10">
        <f t="shared" si="273"/>
        <v>-1068.394547133358</v>
      </c>
      <c r="BT210" s="10">
        <f t="shared" si="274"/>
        <v>-767.5267429989967</v>
      </c>
      <c r="BU210" s="10">
        <f>IF(U210&lt;0,PMT(BQ210/12,Podsumowanie!E$8-SUM(AB$5:AB210)+1,BR210),0)</f>
        <v>-1835.9212901323547</v>
      </c>
      <c r="BV210" s="10">
        <f t="shared" si="268"/>
        <v>-367.493908073852</v>
      </c>
      <c r="BX210" s="11">
        <f>BX$5+SUM(BZ$5:BZ209)+SUM(R$5:R209)-SUM(S$5:S209)+SUM(CB$5,CB209)</f>
        <v>245702.40722528176</v>
      </c>
      <c r="BY210" s="10">
        <f t="shared" si="264"/>
        <v>-599.9233776417296</v>
      </c>
      <c r="BZ210" s="10">
        <f t="shared" si="265"/>
        <v>-1111.7755983044424</v>
      </c>
      <c r="CA210" s="10">
        <f t="shared" si="275"/>
        <v>-1711.6989759461721</v>
      </c>
      <c r="CB210" s="10">
        <f t="shared" si="276"/>
        <v>-491.71622226003456</v>
      </c>
      <c r="CD210" s="10">
        <f>CD$5+SUM(CE$5:CE209)+SUM(R$5:R209)-SUM(S$5:S209)-SUM(CF$5:CF209)</f>
        <v>286277.0738976337</v>
      </c>
      <c r="CE210" s="10">
        <f t="shared" si="269"/>
        <v>599.9233776417296</v>
      </c>
      <c r="CF210" s="10">
        <f t="shared" si="270"/>
        <v>2203.4151982062067</v>
      </c>
      <c r="CG210" s="10">
        <f t="shared" si="271"/>
        <v>1603.4918205644772</v>
      </c>
      <c r="CI210" s="44">
        <v>0.4253</v>
      </c>
      <c r="CJ210" s="10">
        <f t="shared" si="272"/>
        <v>-937.11</v>
      </c>
      <c r="CK210" s="4">
        <f t="shared" si="277"/>
        <v>0</v>
      </c>
      <c r="CM210" s="10">
        <f t="shared" si="278"/>
        <v>-294363.1862556266</v>
      </c>
      <c r="CN210" s="4">
        <f t="shared" si="279"/>
        <v>-421.92056696639816</v>
      </c>
    </row>
    <row r="211" spans="1:92" ht="15.75">
      <c r="A211" s="36"/>
      <c r="B211" s="37">
        <v>43525</v>
      </c>
      <c r="C211" s="77">
        <f t="shared" si="260"/>
        <v>3.8019</v>
      </c>
      <c r="D211" s="79">
        <f>C211*(1+Podsumowanie!E$11)</f>
        <v>3.915957</v>
      </c>
      <c r="E211" s="34">
        <f t="shared" si="305"/>
        <v>-563.3279938145834</v>
      </c>
      <c r="F211" s="7">
        <f t="shared" si="306"/>
        <v>-2205.9682006741746</v>
      </c>
      <c r="G211" s="7">
        <f t="shared" si="307"/>
        <v>-1242.468336565531</v>
      </c>
      <c r="H211" s="7">
        <f t="shared" si="308"/>
        <v>963.4998641086436</v>
      </c>
      <c r="I211" s="32"/>
      <c r="K211" s="4">
        <f>IF(B211&lt;Podsumowanie!E$7,0,K210+1)</f>
        <v>141</v>
      </c>
      <c r="L211" s="100">
        <f t="shared" si="261"/>
        <v>-0.0074</v>
      </c>
      <c r="M211" s="38">
        <f>L211+Podsumowanie!E$6</f>
        <v>0.0046</v>
      </c>
      <c r="N211" s="101">
        <f>MAX(Podsumowanie!E$4+SUM(AA$5:AA210)-SUM(X$5:X211)+SUM(W$5:W211),0)</f>
        <v>119345.96166284411</v>
      </c>
      <c r="O211" s="102">
        <f>MAX(Podsumowanie!E$2+SUM(V$5:V210)-SUM(S$5:S211)+SUM(R$5:R211),0)</f>
        <v>263227.7822001056</v>
      </c>
      <c r="P211" s="39">
        <f t="shared" si="192"/>
        <v>360</v>
      </c>
      <c r="Q211" s="40" t="str">
        <f>IF(AND(K211&gt;0,K211&lt;=Podsumowanie!E$9),"tak","nie")</f>
        <v>nie</v>
      </c>
      <c r="R211" s="41"/>
      <c r="S211" s="42"/>
      <c r="T211" s="88">
        <f t="shared" si="309"/>
        <v>-100.90398317670714</v>
      </c>
      <c r="U211" s="89">
        <f>IF(Q211="tak",T211,IF(P211-SUM(AB$5:AB211)+1&gt;0,IF(Podsumowanie!E$7&lt;B211,IF(SUM(AB$5:AB211)-Podsumowanie!E$9+1&gt;0,PMT(M211/12,P211+1-SUM(AB$5:AB211),O211),T211),0),0))</f>
        <v>-1242.468336565531</v>
      </c>
      <c r="V211" s="89">
        <f t="shared" si="310"/>
        <v>-1141.5643533888237</v>
      </c>
      <c r="W211" s="90" t="str">
        <f>IF(R211&gt;0,R211/(C211*(1-Podsumowanie!E$11))," ")</f>
        <v xml:space="preserve"> </v>
      </c>
      <c r="X211" s="90">
        <f t="shared" si="266"/>
        <v>0</v>
      </c>
      <c r="Y211" s="91">
        <f t="shared" si="311"/>
        <v>-45.74928530409024</v>
      </c>
      <c r="Z211" s="90">
        <f>IF(P211-SUM(AB$5:AB211)+1&gt;0,IF(Podsumowanie!E$7&lt;B211,IF(SUM(AB$5:AB211)-Podsumowanie!E$9+1&gt;0,PMT(M211/12,P211+1-SUM(AB$5:AB211),N211),Y211),0),0)</f>
        <v>-563.3279938145834</v>
      </c>
      <c r="AA211" s="90">
        <f t="shared" si="312"/>
        <v>-517.5787085104931</v>
      </c>
      <c r="AB211" s="8">
        <f>IF(AND(Podsumowanie!E$7&lt;B211,SUM(AB$5:AB210)&lt;P210),1," ")</f>
        <v>1</v>
      </c>
      <c r="AD211" s="51">
        <f>IF(OR(B211&lt;Podsumowanie!E$12,Podsumowanie!E$12=""),-F211+S211,0)</f>
        <v>0</v>
      </c>
      <c r="AE211" s="51">
        <f t="shared" si="267"/>
        <v>563.3279938145834</v>
      </c>
      <c r="AG211" s="10">
        <f>Podsumowanie!E$4-SUM(AI$5:AI210)+SUM(W$42:W211)-SUM(X$42:X211)</f>
        <v>111138.4981355523</v>
      </c>
      <c r="AH211" s="10">
        <f t="shared" si="313"/>
        <v>42.6</v>
      </c>
      <c r="AI211" s="10">
        <f t="shared" si="314"/>
        <v>505.17</v>
      </c>
      <c r="AJ211" s="10">
        <f t="shared" si="315"/>
        <v>547.77</v>
      </c>
      <c r="AK211" s="10">
        <f t="shared" si="301"/>
        <v>2145.04</v>
      </c>
      <c r="AL211" s="10">
        <f>Podsumowanie!E$2-SUM(AN$5:AN210)+SUM(R$42:R211)-SUM(S$42:S211)</f>
        <v>245125.0999999998</v>
      </c>
      <c r="AM211" s="10">
        <f t="shared" si="316"/>
        <v>93.96</v>
      </c>
      <c r="AN211" s="10">
        <f t="shared" si="317"/>
        <v>1114.21</v>
      </c>
      <c r="AO211" s="10">
        <f t="shared" si="318"/>
        <v>1208.17</v>
      </c>
      <c r="AP211" s="10">
        <f t="shared" si="319"/>
        <v>936.8699999999999</v>
      </c>
      <c r="AR211" s="43">
        <f t="shared" si="302"/>
        <v>43525</v>
      </c>
      <c r="AS211" s="11">
        <f>AS$5+SUM(AV$5:AV210)-SUM(X$5:X211)+SUM(W$5:W211)</f>
        <v>115765.58281295878</v>
      </c>
      <c r="AT211" s="10">
        <f t="shared" si="320"/>
        <v>-44.37680674496753</v>
      </c>
      <c r="AU211" s="10">
        <f>IF(AB211=1,IF(Q211="tak",AT211,PMT(M211/12,P211+1-SUM(AB$5:AB211),AS211)),0)</f>
        <v>-546.4281540001458</v>
      </c>
      <c r="AV211" s="10">
        <f t="shared" si="321"/>
        <v>-502.05134725517826</v>
      </c>
      <c r="AW211" s="10">
        <f t="shared" si="187"/>
        <v>-2077.4651986931544</v>
      </c>
      <c r="AY211" s="11">
        <f>AY$5+SUM(BA$5:BA210)+SUM(W$5:W210)-SUM(X$5:X210)</f>
        <v>107804.18719148579</v>
      </c>
      <c r="AZ211" s="11">
        <f t="shared" si="322"/>
        <v>-44.37680674496753</v>
      </c>
      <c r="BA211" s="11">
        <f t="shared" si="323"/>
        <v>-490.02</v>
      </c>
      <c r="BB211" s="11">
        <f t="shared" si="324"/>
        <v>-534.3968067449675</v>
      </c>
      <c r="BC211" s="11">
        <f t="shared" si="303"/>
        <v>-2031.723219563692</v>
      </c>
      <c r="BE211" s="172">
        <f t="shared" si="262"/>
        <v>0.0172</v>
      </c>
      <c r="BF211" s="44">
        <f>BE211+Podsumowanie!$E$6</f>
        <v>0.0292</v>
      </c>
      <c r="BG211" s="11">
        <f>BG$5+SUM(BH$5:BH210)+SUM(R$5:R210)-SUM(S$5:S210)</f>
        <v>302323.8562110294</v>
      </c>
      <c r="BH211" s="10">
        <f t="shared" si="325"/>
        <v>-1034.5878559198163</v>
      </c>
      <c r="BI211" s="10">
        <f t="shared" si="326"/>
        <v>-735.6547167801715</v>
      </c>
      <c r="BJ211" s="10">
        <f>IF(U211&lt;0,PMT(BF211/12,Podsumowanie!E$8-SUM(AB$5:AB211)+1,BG211),0)</f>
        <v>-1770.242572699988</v>
      </c>
      <c r="BL211" s="11">
        <f>BL$5+SUM(BN$5:BN210)+SUM(R$5:R210)-SUM(S$5:S210)</f>
        <v>245125.34818941503</v>
      </c>
      <c r="BM211" s="11">
        <f t="shared" si="216"/>
        <v>-596.4716805942433</v>
      </c>
      <c r="BN211" s="11">
        <f t="shared" si="217"/>
        <v>-1114.2061281337046</v>
      </c>
      <c r="BO211" s="11">
        <f t="shared" si="191"/>
        <v>-1710.6778087279479</v>
      </c>
      <c r="BQ211" s="44">
        <f t="shared" si="263"/>
        <v>0.0293</v>
      </c>
      <c r="BR211" s="11">
        <f>BR$5+SUM(BS$5:BS210)+SUM(R$5:R210)-SUM(S$5:S210)+SUM(BV$5:BV210)</f>
        <v>312909.5352986481</v>
      </c>
      <c r="BS211" s="10">
        <f t="shared" si="273"/>
        <v>-1069.7468555071628</v>
      </c>
      <c r="BT211" s="10">
        <f t="shared" si="274"/>
        <v>-764.0207820208658</v>
      </c>
      <c r="BU211" s="10">
        <f>IF(U211&lt;0,PMT(BQ211/12,Podsumowanie!E$8-SUM(AB$5:AB211)+1,BR211),0)</f>
        <v>-1833.7676375280284</v>
      </c>
      <c r="BV211" s="10">
        <f t="shared" si="268"/>
        <v>-372.2005631461461</v>
      </c>
      <c r="BX211" s="11">
        <f>BX$5+SUM(BZ$5:BZ210)+SUM(R$5:R210)-SUM(S$5:S210)+SUM(CB$5,CB210)</f>
        <v>244591.2393346428</v>
      </c>
      <c r="BY211" s="10">
        <f t="shared" si="264"/>
        <v>-597.2102760420861</v>
      </c>
      <c r="BZ211" s="10">
        <f t="shared" si="265"/>
        <v>-1111.7783606120126</v>
      </c>
      <c r="CA211" s="10">
        <f t="shared" si="275"/>
        <v>-1708.9886366540986</v>
      </c>
      <c r="CB211" s="10">
        <f t="shared" si="276"/>
        <v>-496.97956402007594</v>
      </c>
      <c r="CD211" s="10">
        <f>CD$5+SUM(CE$5:CE210)+SUM(R$5:R210)-SUM(S$5:S210)-SUM(CF$5:CF210)</f>
        <v>284673.5820770692</v>
      </c>
      <c r="CE211" s="10">
        <f t="shared" si="269"/>
        <v>597.2102760420861</v>
      </c>
      <c r="CF211" s="10">
        <f t="shared" si="270"/>
        <v>2205.9682006741746</v>
      </c>
      <c r="CG211" s="10">
        <f t="shared" si="271"/>
        <v>1608.7579246320884</v>
      </c>
      <c r="CI211" s="44">
        <v>0.4196</v>
      </c>
      <c r="CJ211" s="10">
        <f t="shared" si="272"/>
        <v>-925.62</v>
      </c>
      <c r="CK211" s="4">
        <f t="shared" si="277"/>
        <v>0</v>
      </c>
      <c r="CM211" s="10">
        <f t="shared" si="278"/>
        <v>-296569.1544563008</v>
      </c>
      <c r="CN211" s="4">
        <f t="shared" si="279"/>
        <v>-425.0824547206978</v>
      </c>
    </row>
    <row r="212" spans="1:92" ht="15.75">
      <c r="A212" s="36"/>
      <c r="B212" s="37">
        <v>43556</v>
      </c>
      <c r="C212" s="77">
        <f t="shared" si="260"/>
        <v>3.786</v>
      </c>
      <c r="D212" s="79">
        <f>C212*(1+Podsumowanie!E$11)</f>
        <v>3.8995800000000003</v>
      </c>
      <c r="E212" s="34">
        <f t="shared" si="305"/>
        <v>-563.3279938145834</v>
      </c>
      <c r="F212" s="7">
        <f t="shared" si="306"/>
        <v>-2196.742578119473</v>
      </c>
      <c r="G212" s="7">
        <f t="shared" si="307"/>
        <v>-1242.4683365655314</v>
      </c>
      <c r="H212" s="7">
        <f t="shared" si="308"/>
        <v>954.2742415539415</v>
      </c>
      <c r="I212" s="32"/>
      <c r="K212" s="4">
        <f>IF(B212&lt;Podsumowanie!E$7,0,K211+1)</f>
        <v>142</v>
      </c>
      <c r="L212" s="100">
        <f t="shared" si="261"/>
        <v>-0.0074</v>
      </c>
      <c r="M212" s="38">
        <f>L212+Podsumowanie!E$6</f>
        <v>0.0046</v>
      </c>
      <c r="N212" s="101">
        <f>MAX(Podsumowanie!E$4+SUM(AA$5:AA211)-SUM(X$5:X212)+SUM(W$5:W212),0)</f>
        <v>118828.38295433362</v>
      </c>
      <c r="O212" s="102">
        <f>MAX(Podsumowanie!E$2+SUM(V$5:V211)-SUM(S$5:S212)+SUM(R$5:R212),0)</f>
        <v>262086.2178467168</v>
      </c>
      <c r="P212" s="39">
        <f t="shared" si="192"/>
        <v>360</v>
      </c>
      <c r="Q212" s="40" t="str">
        <f>IF(AND(K212&gt;0,K212&lt;=Podsumowanie!E$9),"tak","nie")</f>
        <v>nie</v>
      </c>
      <c r="R212" s="41"/>
      <c r="S212" s="42"/>
      <c r="T212" s="88">
        <f t="shared" si="309"/>
        <v>-100.4663835079081</v>
      </c>
      <c r="U212" s="89">
        <f>IF(Q212="tak",T212,IF(P212-SUM(AB$5:AB212)+1&gt;0,IF(Podsumowanie!E$7&lt;B212,IF(SUM(AB$5:AB212)-Podsumowanie!E$9+1&gt;0,PMT(M212/12,P212+1-SUM(AB$5:AB212),O212),T212),0),0))</f>
        <v>-1242.4683365655314</v>
      </c>
      <c r="V212" s="89">
        <f t="shared" si="310"/>
        <v>-1142.0019530576233</v>
      </c>
      <c r="W212" s="90" t="str">
        <f>IF(R212&gt;0,R212/(C212*(1-Podsumowanie!E$11))," ")</f>
        <v xml:space="preserve"> </v>
      </c>
      <c r="X212" s="90">
        <f t="shared" si="266"/>
        <v>0</v>
      </c>
      <c r="Y212" s="91">
        <f t="shared" si="311"/>
        <v>-45.55088013249455</v>
      </c>
      <c r="Z212" s="90">
        <f>IF(P212-SUM(AB$5:AB212)+1&gt;0,IF(Podsumowanie!E$7&lt;B212,IF(SUM(AB$5:AB212)-Podsumowanie!E$9+1&gt;0,PMT(M212/12,P212+1-SUM(AB$5:AB212),N212),Y212),0),0)</f>
        <v>-563.3279938145834</v>
      </c>
      <c r="AA212" s="90">
        <f t="shared" si="312"/>
        <v>-517.7771136820888</v>
      </c>
      <c r="AB212" s="8">
        <f>IF(AND(Podsumowanie!E$7&lt;B212,SUM(AB$5:AB211)&lt;P211),1," ")</f>
        <v>1</v>
      </c>
      <c r="AD212" s="51">
        <f>IF(OR(B212&lt;Podsumowanie!E$12,Podsumowanie!E$12=""),-F212+S212,0)</f>
        <v>0</v>
      </c>
      <c r="AE212" s="51">
        <f t="shared" si="267"/>
        <v>563.3279938145834</v>
      </c>
      <c r="AG212" s="10">
        <f>Podsumowanie!E$4-SUM(AI$5:AI211)+SUM(W$42:W212)-SUM(X$42:X212)</f>
        <v>110633.3281355523</v>
      </c>
      <c r="AH212" s="10">
        <f t="shared" si="313"/>
        <v>42.41</v>
      </c>
      <c r="AI212" s="10">
        <f t="shared" si="314"/>
        <v>505.18</v>
      </c>
      <c r="AJ212" s="10">
        <f t="shared" si="315"/>
        <v>547.59</v>
      </c>
      <c r="AK212" s="10">
        <f t="shared" si="301"/>
        <v>2135.37</v>
      </c>
      <c r="AL212" s="10">
        <f>Podsumowanie!E$2-SUM(AN$5:AN211)+SUM(R$42:R212)-SUM(S$42:S212)</f>
        <v>244010.8899999998</v>
      </c>
      <c r="AM212" s="10">
        <f t="shared" si="316"/>
        <v>93.54</v>
      </c>
      <c r="AN212" s="10">
        <f t="shared" si="317"/>
        <v>1114.2</v>
      </c>
      <c r="AO212" s="10">
        <f t="shared" si="318"/>
        <v>1207.74</v>
      </c>
      <c r="AP212" s="10">
        <f t="shared" si="319"/>
        <v>927.6299999999999</v>
      </c>
      <c r="AR212" s="43">
        <f t="shared" si="302"/>
        <v>43556</v>
      </c>
      <c r="AS212" s="11">
        <f>AS$5+SUM(AV$5:AV211)-SUM(X$5:X212)+SUM(W$5:W212)</f>
        <v>115263.53146570359</v>
      </c>
      <c r="AT212" s="10">
        <f t="shared" si="320"/>
        <v>-44.18435372851971</v>
      </c>
      <c r="AU212" s="10">
        <f>IF(AB212=1,IF(Q212="tak",AT212,PMT(M212/12,P212+1-SUM(AB$5:AB212),AS212)),0)</f>
        <v>-546.4281540001458</v>
      </c>
      <c r="AV212" s="10">
        <f t="shared" si="321"/>
        <v>-502.2438002716261</v>
      </c>
      <c r="AW212" s="10">
        <f t="shared" si="187"/>
        <v>-2068.7769910445522</v>
      </c>
      <c r="AY212" s="11">
        <f>AY$5+SUM(BA$5:BA211)+SUM(W$5:W211)-SUM(X$5:X211)</f>
        <v>107314.16719148579</v>
      </c>
      <c r="AZ212" s="11">
        <f t="shared" si="322"/>
        <v>-44.18435372851971</v>
      </c>
      <c r="BA212" s="11">
        <f t="shared" si="323"/>
        <v>-490.02</v>
      </c>
      <c r="BB212" s="11">
        <f t="shared" si="324"/>
        <v>-534.2043537285197</v>
      </c>
      <c r="BC212" s="11">
        <f t="shared" si="303"/>
        <v>-2022.4976832161756</v>
      </c>
      <c r="BE212" s="172">
        <f t="shared" si="262"/>
        <v>0.0172</v>
      </c>
      <c r="BF212" s="44">
        <f>BE212+Podsumowanie!$E$6</f>
        <v>0.0292</v>
      </c>
      <c r="BG212" s="11">
        <f>BG$5+SUM(BH$5:BH211)+SUM(R$5:R211)-SUM(S$5:S211)</f>
        <v>301289.26835510955</v>
      </c>
      <c r="BH212" s="10">
        <f t="shared" si="325"/>
        <v>-1037.1053530358877</v>
      </c>
      <c r="BI212" s="10">
        <f t="shared" si="326"/>
        <v>-733.1372196640999</v>
      </c>
      <c r="BJ212" s="10">
        <f>IF(U212&lt;0,PMT(BF212/12,Podsumowanie!E$8-SUM(AB$5:AB212)+1,BG212),0)</f>
        <v>-1770.2425726999877</v>
      </c>
      <c r="BL212" s="11">
        <f>BL$5+SUM(BN$5:BN211)+SUM(R$5:R211)-SUM(S$5:S211)</f>
        <v>244011.14206128134</v>
      </c>
      <c r="BM212" s="11">
        <f t="shared" si="216"/>
        <v>-593.7604456824513</v>
      </c>
      <c r="BN212" s="11">
        <f t="shared" si="217"/>
        <v>-1114.2061281337049</v>
      </c>
      <c r="BO212" s="11">
        <f t="shared" si="191"/>
        <v>-1707.9665738161561</v>
      </c>
      <c r="BQ212" s="44">
        <f t="shared" si="263"/>
        <v>0.0293</v>
      </c>
      <c r="BR212" s="11">
        <f>BR$5+SUM(BS$5:BS211)+SUM(R$5:R211)-SUM(S$5:S211)+SUM(BV$5:BV211)</f>
        <v>311467.5878799948</v>
      </c>
      <c r="BS212" s="10">
        <f t="shared" si="273"/>
        <v>-1071.0788924887333</v>
      </c>
      <c r="BT212" s="10">
        <f t="shared" si="274"/>
        <v>-760.500027073654</v>
      </c>
      <c r="BU212" s="10">
        <f>IF(U212&lt;0,PMT(BQ212/12,Podsumowanie!E$8-SUM(AB$5:AB212)+1,BR212),0)</f>
        <v>-1831.5789195623875</v>
      </c>
      <c r="BV212" s="10">
        <f t="shared" si="268"/>
        <v>-365.16365855708545</v>
      </c>
      <c r="BX212" s="11">
        <f>BX$5+SUM(BZ$5:BZ211)+SUM(R$5:R211)-SUM(S$5:S211)+SUM(CB$5,CB211)</f>
        <v>243474.19763227072</v>
      </c>
      <c r="BY212" s="10">
        <f t="shared" si="264"/>
        <v>-594.4828325521277</v>
      </c>
      <c r="BZ212" s="10">
        <f t="shared" si="265"/>
        <v>-1111.7543270879942</v>
      </c>
      <c r="CA212" s="10">
        <f t="shared" si="275"/>
        <v>-1706.2371596401217</v>
      </c>
      <c r="CB212" s="10">
        <f t="shared" si="276"/>
        <v>-490.5054184793512</v>
      </c>
      <c r="CD212" s="10">
        <f>CD$5+SUM(CE$5:CE211)+SUM(R$5:R211)-SUM(S$5:S211)-SUM(CF$5:CF211)</f>
        <v>283064.82415243716</v>
      </c>
      <c r="CE212" s="10">
        <f t="shared" si="269"/>
        <v>594.4828325521277</v>
      </c>
      <c r="CF212" s="10">
        <f t="shared" si="270"/>
        <v>2196.742578119473</v>
      </c>
      <c r="CG212" s="10">
        <f t="shared" si="271"/>
        <v>1602.2597455673454</v>
      </c>
      <c r="CI212" s="44">
        <v>0.4154</v>
      </c>
      <c r="CJ212" s="10">
        <f t="shared" si="272"/>
        <v>-912.53</v>
      </c>
      <c r="CK212" s="4">
        <f t="shared" si="277"/>
        <v>0</v>
      </c>
      <c r="CM212" s="10">
        <f t="shared" si="278"/>
        <v>-298765.8970344202</v>
      </c>
      <c r="CN212" s="4">
        <f t="shared" si="279"/>
        <v>-428.231119082669</v>
      </c>
    </row>
    <row r="213" spans="1:92" ht="15.75">
      <c r="A213" s="36"/>
      <c r="B213" s="37">
        <v>43586</v>
      </c>
      <c r="C213" s="77">
        <f t="shared" si="260"/>
        <v>3.7978</v>
      </c>
      <c r="D213" s="79">
        <f>C213*(1+Podsumowanie!E$11)</f>
        <v>3.911734</v>
      </c>
      <c r="E213" s="34">
        <f t="shared" si="305"/>
        <v>-563.3279938145834</v>
      </c>
      <c r="F213" s="7">
        <f t="shared" si="306"/>
        <v>-2203.5892665562956</v>
      </c>
      <c r="G213" s="7">
        <f t="shared" si="307"/>
        <v>-1242.4683365655312</v>
      </c>
      <c r="H213" s="7">
        <f t="shared" si="308"/>
        <v>961.1209299907644</v>
      </c>
      <c r="I213" s="32"/>
      <c r="K213" s="4">
        <f>IF(B213&lt;Podsumowanie!E$7,0,K212+1)</f>
        <v>143</v>
      </c>
      <c r="L213" s="100">
        <f t="shared" si="261"/>
        <v>-0.0074</v>
      </c>
      <c r="M213" s="38">
        <f>L213+Podsumowanie!E$6</f>
        <v>0.0046</v>
      </c>
      <c r="N213" s="101">
        <f>MAX(Podsumowanie!E$4+SUM(AA$5:AA212)-SUM(X$5:X213)+SUM(W$5:W213),0)</f>
        <v>118310.60584065152</v>
      </c>
      <c r="O213" s="102">
        <f>MAX(Podsumowanie!E$2+SUM(V$5:V212)-SUM(S$5:S213)+SUM(R$5:R213),0)</f>
        <v>260944.2158936592</v>
      </c>
      <c r="P213" s="39">
        <f t="shared" si="192"/>
        <v>360</v>
      </c>
      <c r="Q213" s="40" t="str">
        <f>IF(AND(K213&gt;0,K213&lt;=Podsumowanie!E$9),"tak","nie")</f>
        <v>nie</v>
      </c>
      <c r="R213" s="41"/>
      <c r="S213" s="42"/>
      <c r="T213" s="88">
        <f t="shared" si="309"/>
        <v>-100.02861609256935</v>
      </c>
      <c r="U213" s="89">
        <f>IF(Q213="tak",T213,IF(P213-SUM(AB$5:AB213)+1&gt;0,IF(Podsumowanie!E$7&lt;B213,IF(SUM(AB$5:AB213)-Podsumowanie!E$9+1&gt;0,PMT(M213/12,P213+1-SUM(AB$5:AB213),O213),T213),0),0))</f>
        <v>-1242.4683365655312</v>
      </c>
      <c r="V213" s="89">
        <f t="shared" si="310"/>
        <v>-1142.4397204729619</v>
      </c>
      <c r="W213" s="90" t="str">
        <f>IF(R213&gt;0,R213/(C213*(1-Podsumowanie!E$11))," ")</f>
        <v xml:space="preserve"> </v>
      </c>
      <c r="X213" s="90">
        <f t="shared" si="266"/>
        <v>0</v>
      </c>
      <c r="Y213" s="91">
        <f t="shared" si="311"/>
        <v>-45.35239890558308</v>
      </c>
      <c r="Z213" s="90">
        <f>IF(P213-SUM(AB$5:AB213)+1&gt;0,IF(Podsumowanie!E$7&lt;B213,IF(SUM(AB$5:AB213)-Podsumowanie!E$9+1&gt;0,PMT(M213/12,P213+1-SUM(AB$5:AB213),N213),Y213),0),0)</f>
        <v>-563.3279938145834</v>
      </c>
      <c r="AA213" s="90">
        <f t="shared" si="312"/>
        <v>-517.9755949090003</v>
      </c>
      <c r="AB213" s="8">
        <f>IF(AND(Podsumowanie!E$7&lt;B213,SUM(AB$5:AB212)&lt;P212),1," ")</f>
        <v>1</v>
      </c>
      <c r="AD213" s="51">
        <f>IF(OR(B213&lt;Podsumowanie!E$12,Podsumowanie!E$12=""),-F213+S213,0)</f>
        <v>0</v>
      </c>
      <c r="AE213" s="51">
        <f t="shared" si="267"/>
        <v>563.3279938145834</v>
      </c>
      <c r="AG213" s="10">
        <f>Podsumowanie!E$4-SUM(AI$5:AI212)+SUM(W$42:W213)-SUM(X$42:X213)</f>
        <v>110128.14813555231</v>
      </c>
      <c r="AH213" s="10">
        <f t="shared" si="313"/>
        <v>42.22</v>
      </c>
      <c r="AI213" s="10">
        <f t="shared" si="314"/>
        <v>505.17</v>
      </c>
      <c r="AJ213" s="10">
        <f t="shared" si="315"/>
        <v>547.39</v>
      </c>
      <c r="AK213" s="10">
        <f t="shared" si="301"/>
        <v>2141.24</v>
      </c>
      <c r="AL213" s="10">
        <f>Podsumowanie!E$2-SUM(AN$5:AN212)+SUM(R$42:R213)-SUM(S$42:S213)</f>
        <v>242896.6899999998</v>
      </c>
      <c r="AM213" s="10">
        <f t="shared" si="316"/>
        <v>93.11</v>
      </c>
      <c r="AN213" s="10">
        <f t="shared" si="317"/>
        <v>1114.21</v>
      </c>
      <c r="AO213" s="10">
        <f t="shared" si="318"/>
        <v>1207.32</v>
      </c>
      <c r="AP213" s="10">
        <f t="shared" si="319"/>
        <v>933.9199999999998</v>
      </c>
      <c r="AR213" s="43">
        <f t="shared" si="302"/>
        <v>43586</v>
      </c>
      <c r="AS213" s="11">
        <f>AS$5+SUM(AV$5:AV212)-SUM(X$5:X213)+SUM(W$5:W213)</f>
        <v>114761.28766543197</v>
      </c>
      <c r="AT213" s="10">
        <f t="shared" si="320"/>
        <v>-43.991826938415585</v>
      </c>
      <c r="AU213" s="10">
        <f>IF(AB213=1,IF(Q213="tak",AT213,PMT(M213/12,P213+1-SUM(AB$5:AB213),AS213)),0)</f>
        <v>-546.4281540001458</v>
      </c>
      <c r="AV213" s="10">
        <f t="shared" si="321"/>
        <v>-502.43632706173025</v>
      </c>
      <c r="AW213" s="10">
        <f t="shared" si="187"/>
        <v>-2075.224843261754</v>
      </c>
      <c r="AY213" s="11">
        <f>AY$5+SUM(BA$5:BA212)+SUM(W$5:W212)-SUM(X$5:X212)</f>
        <v>106824.14719148578</v>
      </c>
      <c r="AZ213" s="11">
        <f t="shared" si="322"/>
        <v>-43.991826938415585</v>
      </c>
      <c r="BA213" s="11">
        <f t="shared" si="323"/>
        <v>-490.02</v>
      </c>
      <c r="BB213" s="11">
        <f t="shared" si="324"/>
        <v>-534.0118269384155</v>
      </c>
      <c r="BC213" s="11">
        <f t="shared" si="303"/>
        <v>-2028.0701163467145</v>
      </c>
      <c r="BE213" s="172">
        <f t="shared" si="262"/>
        <v>0.0172</v>
      </c>
      <c r="BF213" s="44">
        <f>BE213+Podsumowanie!$E$6</f>
        <v>0.0292</v>
      </c>
      <c r="BG213" s="11">
        <f>BG$5+SUM(BH$5:BH212)+SUM(R$5:R212)-SUM(S$5:S212)</f>
        <v>300252.16300207365</v>
      </c>
      <c r="BH213" s="10">
        <f t="shared" si="325"/>
        <v>-1039.6289760616087</v>
      </c>
      <c r="BI213" s="10">
        <f t="shared" si="326"/>
        <v>-730.6135966383791</v>
      </c>
      <c r="BJ213" s="10">
        <f>IF(U213&lt;0,PMT(BF213/12,Podsumowanie!E$8-SUM(AB$5:AB213)+1,BG213),0)</f>
        <v>-1770.2425726999877</v>
      </c>
      <c r="BL213" s="11">
        <f>BL$5+SUM(BN$5:BN212)+SUM(R$5:R212)-SUM(S$5:S212)</f>
        <v>242896.93593314764</v>
      </c>
      <c r="BM213" s="11">
        <f t="shared" si="216"/>
        <v>-591.0492107706592</v>
      </c>
      <c r="BN213" s="11">
        <f t="shared" si="217"/>
        <v>-1114.2061281337049</v>
      </c>
      <c r="BO213" s="11">
        <f t="shared" si="191"/>
        <v>-1705.2553389043642</v>
      </c>
      <c r="BQ213" s="44">
        <f t="shared" si="263"/>
        <v>0.0293</v>
      </c>
      <c r="BR213" s="11">
        <f>BR$5+SUM(BS$5:BS212)+SUM(R$5:R212)-SUM(S$5:S212)+SUM(BV$5:BV212)</f>
        <v>310031.34532894904</v>
      </c>
      <c r="BS213" s="10">
        <f t="shared" si="273"/>
        <v>-1072.4309706879408</v>
      </c>
      <c r="BT213" s="10">
        <f t="shared" si="274"/>
        <v>-756.9932015115172</v>
      </c>
      <c r="BU213" s="10">
        <f>IF(U213&lt;0,PMT(BQ213/12,Podsumowanie!E$8-SUM(AB$5:AB213)+1,BR213),0)</f>
        <v>-1829.424172199458</v>
      </c>
      <c r="BV213" s="10">
        <f t="shared" si="268"/>
        <v>-374.16509435683747</v>
      </c>
      <c r="BX213" s="11">
        <f>BX$5+SUM(BZ$5:BZ212)+SUM(R$5:R212)-SUM(S$5:S212)+SUM(CB$5,CB212)</f>
        <v>242368.91745072347</v>
      </c>
      <c r="BY213" s="10">
        <f t="shared" si="264"/>
        <v>-591.7841067755165</v>
      </c>
      <c r="BZ213" s="10">
        <f t="shared" si="265"/>
        <v>-1111.7840250033187</v>
      </c>
      <c r="CA213" s="10">
        <f t="shared" si="275"/>
        <v>-1703.5681317788353</v>
      </c>
      <c r="CB213" s="10">
        <f t="shared" si="276"/>
        <v>-500.02113477746025</v>
      </c>
      <c r="CD213" s="10">
        <f>CD$5+SUM(CE$5:CE212)+SUM(R$5:R212)-SUM(S$5:S212)-SUM(CF$5:CF212)</f>
        <v>281462.5644068699</v>
      </c>
      <c r="CE213" s="10">
        <f t="shared" si="269"/>
        <v>591.7841067755165</v>
      </c>
      <c r="CF213" s="10">
        <f t="shared" si="270"/>
        <v>2203.5892665562956</v>
      </c>
      <c r="CG213" s="10">
        <f t="shared" si="271"/>
        <v>1611.805159780779</v>
      </c>
      <c r="CI213" s="44">
        <v>0.4</v>
      </c>
      <c r="CJ213" s="10">
        <f t="shared" si="272"/>
        <v>-881.44</v>
      </c>
      <c r="CK213" s="4">
        <f t="shared" si="277"/>
        <v>0</v>
      </c>
      <c r="CM213" s="10">
        <f t="shared" si="278"/>
        <v>-300969.48630097654</v>
      </c>
      <c r="CN213" s="4">
        <f t="shared" si="279"/>
        <v>-431.3895970313997</v>
      </c>
    </row>
    <row r="214" spans="1:92" ht="15.75">
      <c r="A214" s="36"/>
      <c r="B214" s="37">
        <v>43617</v>
      </c>
      <c r="C214" s="77">
        <f t="shared" si="260"/>
        <v>3.82</v>
      </c>
      <c r="D214" s="79">
        <f>C214*(1+Podsumowanie!E$11)</f>
        <v>3.9346</v>
      </c>
      <c r="E214" s="34">
        <f t="shared" si="305"/>
        <v>-563.3279938145834</v>
      </c>
      <c r="F214" s="7">
        <f t="shared" si="306"/>
        <v>-2216.47032446286</v>
      </c>
      <c r="G214" s="7">
        <f t="shared" si="307"/>
        <v>-1242.4683365655314</v>
      </c>
      <c r="H214" s="7">
        <f t="shared" si="308"/>
        <v>974.0019878973285</v>
      </c>
      <c r="I214" s="32"/>
      <c r="K214" s="4">
        <f>IF(B214&lt;Podsumowanie!E$7,0,K213+1)</f>
        <v>144</v>
      </c>
      <c r="L214" s="100">
        <f t="shared" si="261"/>
        <v>-0.0074</v>
      </c>
      <c r="M214" s="38">
        <f>L214+Podsumowanie!E$6</f>
        <v>0.0046</v>
      </c>
      <c r="N214" s="101">
        <f>MAX(Podsumowanie!E$4+SUM(AA$5:AA213)-SUM(X$5:X214)+SUM(W$5:W214),0)</f>
        <v>117792.63024574252</v>
      </c>
      <c r="O214" s="102">
        <f>MAX(Podsumowanie!E$2+SUM(V$5:V213)-SUM(S$5:S214)+SUM(R$5:R214),0)</f>
        <v>259801.77617318623</v>
      </c>
      <c r="P214" s="39">
        <f t="shared" si="192"/>
        <v>360</v>
      </c>
      <c r="Q214" s="40" t="str">
        <f>IF(AND(K214&gt;0,K214&lt;=Podsumowanie!E$9),"tak","nie")</f>
        <v>nie</v>
      </c>
      <c r="R214" s="41"/>
      <c r="S214" s="42"/>
      <c r="T214" s="88">
        <f t="shared" si="309"/>
        <v>-99.59068086638804</v>
      </c>
      <c r="U214" s="89">
        <f>IF(Q214="tak",T214,IF(P214-SUM(AB$5:AB214)+1&gt;0,IF(Podsumowanie!E$7&lt;B214,IF(SUM(AB$5:AB214)-Podsumowanie!E$9+1&gt;0,PMT(M214/12,P214+1-SUM(AB$5:AB214),O214),T214),0),0))</f>
        <v>-1242.4683365655314</v>
      </c>
      <c r="V214" s="89">
        <f t="shared" si="310"/>
        <v>-1142.8776556991434</v>
      </c>
      <c r="W214" s="90" t="str">
        <f>IF(R214&gt;0,R214/(C214*(1-Podsumowanie!E$11))," ")</f>
        <v xml:space="preserve"> </v>
      </c>
      <c r="X214" s="90">
        <f t="shared" si="266"/>
        <v>0</v>
      </c>
      <c r="Y214" s="91">
        <f t="shared" si="311"/>
        <v>-45.1538415942013</v>
      </c>
      <c r="Z214" s="90">
        <f>IF(P214-SUM(AB$5:AB214)+1&gt;0,IF(Podsumowanie!E$7&lt;B214,IF(SUM(AB$5:AB214)-Podsumowanie!E$9+1&gt;0,PMT(M214/12,P214+1-SUM(AB$5:AB214),N214),Y214),0),0)</f>
        <v>-563.3279938145834</v>
      </c>
      <c r="AA214" s="90">
        <f t="shared" si="312"/>
        <v>-518.1741522203821</v>
      </c>
      <c r="AB214" s="8">
        <f>IF(AND(Podsumowanie!E$7&lt;B214,SUM(AB$5:AB213)&lt;P213),1," ")</f>
        <v>1</v>
      </c>
      <c r="AD214" s="51">
        <f>IF(OR(B214&lt;Podsumowanie!E$12,Podsumowanie!E$12=""),-F214+S214,0)</f>
        <v>0</v>
      </c>
      <c r="AE214" s="51">
        <f t="shared" si="267"/>
        <v>563.3279938145834</v>
      </c>
      <c r="AG214" s="10">
        <f>Podsumowanie!E$4-SUM(AI$5:AI213)+SUM(W$42:W214)-SUM(X$42:X214)</f>
        <v>109622.97813555232</v>
      </c>
      <c r="AH214" s="10">
        <f t="shared" si="313"/>
        <v>42.02</v>
      </c>
      <c r="AI214" s="10">
        <f t="shared" si="314"/>
        <v>505.18</v>
      </c>
      <c r="AJ214" s="10">
        <f t="shared" si="315"/>
        <v>547.2</v>
      </c>
      <c r="AK214" s="10">
        <f t="shared" si="301"/>
        <v>2153.01</v>
      </c>
      <c r="AL214" s="10">
        <f>Podsumowanie!E$2-SUM(AN$5:AN213)+SUM(R$42:R214)-SUM(S$42:S214)</f>
        <v>241782.4799999998</v>
      </c>
      <c r="AM214" s="10">
        <f t="shared" si="316"/>
        <v>92.68</v>
      </c>
      <c r="AN214" s="10">
        <f t="shared" si="317"/>
        <v>1114.2</v>
      </c>
      <c r="AO214" s="10">
        <f t="shared" si="318"/>
        <v>1206.88</v>
      </c>
      <c r="AP214" s="10">
        <f t="shared" si="319"/>
        <v>946.1300000000001</v>
      </c>
      <c r="AR214" s="43">
        <f t="shared" si="302"/>
        <v>43617</v>
      </c>
      <c r="AS214" s="11">
        <f>AS$5+SUM(AV$5:AV213)-SUM(X$5:X214)+SUM(W$5:W214)</f>
        <v>114258.85133837024</v>
      </c>
      <c r="AT214" s="10">
        <f t="shared" si="320"/>
        <v>-43.79922634637526</v>
      </c>
      <c r="AU214" s="10">
        <f>IF(AB214=1,IF(Q214="tak",AT214,PMT(M214/12,P214+1-SUM(AB$5:AB214),AS214)),0)</f>
        <v>-546.4281540001458</v>
      </c>
      <c r="AV214" s="10">
        <f t="shared" si="321"/>
        <v>-502.6289276537706</v>
      </c>
      <c r="AW214" s="10">
        <f t="shared" si="187"/>
        <v>-2087.355548280557</v>
      </c>
      <c r="AY214" s="11">
        <f>AY$5+SUM(BA$5:BA213)+SUM(W$5:W213)-SUM(X$5:X213)</f>
        <v>106334.12719148578</v>
      </c>
      <c r="AZ214" s="11">
        <f t="shared" si="322"/>
        <v>-43.79922634637526</v>
      </c>
      <c r="BA214" s="11">
        <f t="shared" si="323"/>
        <v>-490.02</v>
      </c>
      <c r="BB214" s="11">
        <f t="shared" si="324"/>
        <v>-533.8192263463752</v>
      </c>
      <c r="BC214" s="11">
        <f t="shared" si="303"/>
        <v>-2039.1894446431531</v>
      </c>
      <c r="BE214" s="172">
        <f t="shared" si="262"/>
        <v>0.0172</v>
      </c>
      <c r="BF214" s="44">
        <f>BE214+Podsumowanie!$E$6</f>
        <v>0.0292</v>
      </c>
      <c r="BG214" s="11">
        <f>BG$5+SUM(BH$5:BH213)+SUM(R$5:R213)-SUM(S$5:S213)</f>
        <v>299212.53402601206</v>
      </c>
      <c r="BH214" s="10">
        <f t="shared" si="325"/>
        <v>-1042.1587399033585</v>
      </c>
      <c r="BI214" s="10">
        <f t="shared" si="326"/>
        <v>-728.0838327966294</v>
      </c>
      <c r="BJ214" s="10">
        <f>IF(U214&lt;0,PMT(BF214/12,Podsumowanie!E$8-SUM(AB$5:AB214)+1,BG214),0)</f>
        <v>-1770.242572699988</v>
      </c>
      <c r="BL214" s="11">
        <f>BL$5+SUM(BN$5:BN213)+SUM(R$5:R213)-SUM(S$5:S213)</f>
        <v>241782.72980501395</v>
      </c>
      <c r="BM214" s="11">
        <f t="shared" si="216"/>
        <v>-588.3379758588673</v>
      </c>
      <c r="BN214" s="11">
        <f t="shared" si="217"/>
        <v>-1114.2061281337049</v>
      </c>
      <c r="BO214" s="11">
        <f t="shared" si="191"/>
        <v>-1702.5441039925722</v>
      </c>
      <c r="BQ214" s="44">
        <f t="shared" si="263"/>
        <v>0.0293</v>
      </c>
      <c r="BR214" s="11">
        <f>BR$5+SUM(BS$5:BS213)+SUM(R$5:R213)-SUM(S$5:S213)+SUM(BV$5:BV213)</f>
        <v>308584.7492639042</v>
      </c>
      <c r="BS214" s="10">
        <f t="shared" si="273"/>
        <v>-1073.7475495611961</v>
      </c>
      <c r="BT214" s="10">
        <f t="shared" si="274"/>
        <v>-753.4610961193661</v>
      </c>
      <c r="BU214" s="10">
        <f>IF(U214&lt;0,PMT(BQ214/12,Podsumowanie!E$8-SUM(AB$5:AB214)+1,BR214),0)</f>
        <v>-1827.2086456805623</v>
      </c>
      <c r="BV214" s="10">
        <f t="shared" si="268"/>
        <v>-389.2616787822976</v>
      </c>
      <c r="BX214" s="11">
        <f>BX$5+SUM(BZ$5:BZ213)+SUM(R$5:R213)-SUM(S$5:S213)+SUM(CB$5,CB213)</f>
        <v>241247.61770942205</v>
      </c>
      <c r="BY214" s="10">
        <f t="shared" si="264"/>
        <v>-589.0462665738388</v>
      </c>
      <c r="BZ214" s="10">
        <f t="shared" si="265"/>
        <v>-1111.7401737761384</v>
      </c>
      <c r="CA214" s="10">
        <f t="shared" si="275"/>
        <v>-1700.786440349977</v>
      </c>
      <c r="CB214" s="10">
        <f t="shared" si="276"/>
        <v>-515.6838841128829</v>
      </c>
      <c r="CD214" s="10">
        <f>CD$5+SUM(CE$5:CE213)+SUM(R$5:R213)-SUM(S$5:S213)-SUM(CF$5:CF213)</f>
        <v>279850.759247089</v>
      </c>
      <c r="CE214" s="10">
        <f t="shared" si="269"/>
        <v>589.0462665738388</v>
      </c>
      <c r="CF214" s="10">
        <f t="shared" si="270"/>
        <v>2216.47032446286</v>
      </c>
      <c r="CG214" s="10">
        <f t="shared" si="271"/>
        <v>1627.4240578890212</v>
      </c>
      <c r="CI214" s="44">
        <v>0.3972</v>
      </c>
      <c r="CJ214" s="10">
        <f t="shared" si="272"/>
        <v>-880.38</v>
      </c>
      <c r="CK214" s="4">
        <f t="shared" si="277"/>
        <v>0</v>
      </c>
      <c r="CM214" s="10">
        <f t="shared" si="278"/>
        <v>-303185.9566254394</v>
      </c>
      <c r="CN214" s="4">
        <f t="shared" si="279"/>
        <v>-434.56653782979646</v>
      </c>
    </row>
    <row r="215" spans="1:92" ht="15.75">
      <c r="A215" s="36"/>
      <c r="B215" s="37">
        <v>43647</v>
      </c>
      <c r="C215" s="77">
        <f t="shared" si="260"/>
        <v>3.8442</v>
      </c>
      <c r="D215" s="79">
        <f>C215*(1+Podsumowanie!E$11)</f>
        <v>3.959526</v>
      </c>
      <c r="E215" s="34">
        <f aca="true" t="shared" si="327" ref="E215:E220">Z215</f>
        <v>-563.3279938145834</v>
      </c>
      <c r="F215" s="7">
        <f aca="true" t="shared" si="328" ref="F215:F220">E215*D215</f>
        <v>-2230.511838036682</v>
      </c>
      <c r="G215" s="7">
        <f aca="true" t="shared" si="329" ref="G215:G220">U215</f>
        <v>-1242.4683365655312</v>
      </c>
      <c r="H215" s="7">
        <f aca="true" t="shared" si="330" ref="H215:H220">G215-F215</f>
        <v>988.0435014711509</v>
      </c>
      <c r="I215" s="32"/>
      <c r="K215" s="4">
        <f>IF(B215&lt;Podsumowanie!E$7,0,K214+1)</f>
        <v>145</v>
      </c>
      <c r="L215" s="100">
        <f t="shared" si="261"/>
        <v>-0.0074</v>
      </c>
      <c r="M215" s="38">
        <f>L215+Podsumowanie!E$6</f>
        <v>0.0046</v>
      </c>
      <c r="N215" s="101">
        <f>MAX(Podsumowanie!E$4+SUM(AA$5:AA214)-SUM(X$5:X215)+SUM(W$5:W215),0)</f>
        <v>117274.45609352214</v>
      </c>
      <c r="O215" s="102">
        <f>MAX(Podsumowanie!E$2+SUM(V$5:V214)-SUM(S$5:S215)+SUM(R$5:R215),0)</f>
        <v>258658.89851748708</v>
      </c>
      <c r="P215" s="39">
        <f t="shared" si="192"/>
        <v>360</v>
      </c>
      <c r="Q215" s="40" t="str">
        <f>IF(AND(K215&gt;0,K215&lt;=Podsumowanie!E$9),"tak","nie")</f>
        <v>nie</v>
      </c>
      <c r="R215" s="41"/>
      <c r="S215" s="42"/>
      <c r="T215" s="88">
        <f aca="true" t="shared" si="331" ref="T215:T220">IF(AB215=1,-O215*M215/12,0)</f>
        <v>-99.15257776503671</v>
      </c>
      <c r="U215" s="89">
        <f>IF(Q215="tak",T215,IF(P215-SUM(AB$5:AB215)+1&gt;0,IF(Podsumowanie!E$7&lt;B215,IF(SUM(AB$5:AB215)-Podsumowanie!E$9+1&gt;0,PMT(M215/12,P215+1-SUM(AB$5:AB215),O215),T215),0),0))</f>
        <v>-1242.4683365655312</v>
      </c>
      <c r="V215" s="89">
        <f aca="true" t="shared" si="332" ref="V215:V220">U215-T215</f>
        <v>-1143.3157588004945</v>
      </c>
      <c r="W215" s="90" t="str">
        <f>IF(R215&gt;0,R215/(C215*(1-Podsumowanie!E$11))," ")</f>
        <v xml:space="preserve"> </v>
      </c>
      <c r="X215" s="90">
        <f t="shared" si="266"/>
        <v>0</v>
      </c>
      <c r="Y215" s="91">
        <f aca="true" t="shared" si="333" ref="Y215:Y220">IF(AB215=1,-N215*M215/12,0)</f>
        <v>-44.955208169183486</v>
      </c>
      <c r="Z215" s="90">
        <f>IF(P215-SUM(AB$5:AB215)+1&gt;0,IF(Podsumowanie!E$7&lt;B215,IF(SUM(AB$5:AB215)-Podsumowanie!E$9+1&gt;0,PMT(M215/12,P215+1-SUM(AB$5:AB215),N215),Y215),0),0)</f>
        <v>-563.3279938145834</v>
      </c>
      <c r="AA215" s="90">
        <f aca="true" t="shared" si="334" ref="AA215:AA220">Z215-Y215</f>
        <v>-518.3727856453999</v>
      </c>
      <c r="AB215" s="8">
        <f>IF(AND(Podsumowanie!E$7&lt;B215,SUM(AB$5:AB214)&lt;P214),1," ")</f>
        <v>1</v>
      </c>
      <c r="AD215" s="51">
        <f>IF(OR(B215&lt;Podsumowanie!E$12,Podsumowanie!E$12=""),-F215+S215,0)</f>
        <v>0</v>
      </c>
      <c r="AE215" s="51">
        <f t="shared" si="267"/>
        <v>563.3279938145834</v>
      </c>
      <c r="AG215" s="10">
        <f>Podsumowanie!E$4-SUM(AI$5:AI214)+SUM(W$42:W215)-SUM(X$42:X215)</f>
        <v>109117.79813555232</v>
      </c>
      <c r="AH215" s="10">
        <f aca="true" t="shared" si="335" ref="AH215:AH220">IF(AB215=1,ROUND(AG215*M215/12,2),0)</f>
        <v>41.83</v>
      </c>
      <c r="AI215" s="10">
        <f aca="true" t="shared" si="336" ref="AI215:AI220">IF(Q215="tak",0,IF(AB215=1,ROUND(AG215/(P215-K215+1),2),0))</f>
        <v>505.17</v>
      </c>
      <c r="AJ215" s="10">
        <f aca="true" t="shared" si="337" ref="AJ215:AJ220">AI215+AH215</f>
        <v>547</v>
      </c>
      <c r="AK215" s="10">
        <f t="shared" si="301"/>
        <v>2165.86</v>
      </c>
      <c r="AL215" s="10">
        <f>Podsumowanie!E$2-SUM(AN$5:AN214)+SUM(R$42:R215)-SUM(S$42:S215)</f>
        <v>240668.2799999998</v>
      </c>
      <c r="AM215" s="10">
        <f aca="true" t="shared" si="338" ref="AM215:AM220">IF(AB215=1,ROUND(AL215*M215/12,2),0)</f>
        <v>92.26</v>
      </c>
      <c r="AN215" s="10">
        <f aca="true" t="shared" si="339" ref="AN215:AN220">IF(Q215="tak",0,IF(AB215=1,ROUND(AL215/(P215-K215+1),2),0))</f>
        <v>1114.21</v>
      </c>
      <c r="AO215" s="10">
        <f aca="true" t="shared" si="340" ref="AO215:AO220">AN215+AM215</f>
        <v>1206.47</v>
      </c>
      <c r="AP215" s="10">
        <f aca="true" t="shared" si="341" ref="AP215:AP220">AK215-AO215</f>
        <v>959.3900000000001</v>
      </c>
      <c r="AR215" s="43">
        <f t="shared" si="302"/>
        <v>43647</v>
      </c>
      <c r="AS215" s="11">
        <f>AS$5+SUM(AV$5:AV214)-SUM(X$5:X215)+SUM(W$5:W215)</f>
        <v>113756.22241071647</v>
      </c>
      <c r="AT215" s="10">
        <f aca="true" t="shared" si="342" ref="AT215:AT220">IF(AB215=1,-AS215*M215/12,0)</f>
        <v>-43.606551924107976</v>
      </c>
      <c r="AU215" s="10">
        <f>IF(AB215=1,IF(Q215="tak",AT215,PMT(M215/12,P215+1-SUM(AB$5:AB215),AS215)),0)</f>
        <v>-546.4281540001457</v>
      </c>
      <c r="AV215" s="10">
        <f aca="true" t="shared" si="343" ref="AV215:AV220">AU215-AT215</f>
        <v>-502.8216020760377</v>
      </c>
      <c r="AW215" s="10">
        <f t="shared" si="187"/>
        <v>-2100.57910960736</v>
      </c>
      <c r="AY215" s="11">
        <f>AY$5+SUM(BA$5:BA214)+SUM(W$5:W214)-SUM(X$5:X214)</f>
        <v>105844.10719148577</v>
      </c>
      <c r="AZ215" s="11">
        <f aca="true" t="shared" si="344" ref="AZ215:AZ220">IF(AB215=1,-AS215*M215/12,0)</f>
        <v>-43.606551924107976</v>
      </c>
      <c r="BA215" s="11">
        <f aca="true" t="shared" si="345" ref="BA215:BA220">IF(AB215=1,IF(Q215="tak",0,ROUND(-AY215/(P215-K215+1),2)),0)</f>
        <v>-490.02</v>
      </c>
      <c r="BB215" s="11">
        <f aca="true" t="shared" si="346" ref="BB215:BB220">BA215+AZ215</f>
        <v>-533.626551924108</v>
      </c>
      <c r="BC215" s="11">
        <f t="shared" si="303"/>
        <v>-2051.3671909066557</v>
      </c>
      <c r="BE215" s="172">
        <f t="shared" si="262"/>
        <v>0.0172</v>
      </c>
      <c r="BF215" s="44">
        <f>BE215+Podsumowanie!$E$6</f>
        <v>0.0292</v>
      </c>
      <c r="BG215" s="11">
        <f>BG$5+SUM(BH$5:BH214)+SUM(R$5:R214)-SUM(S$5:S214)</f>
        <v>298170.3752861087</v>
      </c>
      <c r="BH215" s="10">
        <f aca="true" t="shared" si="347" ref="BH215:BH220">IF(BJ215&lt;0,BJ215-BI215,0)</f>
        <v>-1044.6946595037898</v>
      </c>
      <c r="BI215" s="10">
        <f aca="true" t="shared" si="348" ref="BI215:BI220">IF(BJ215&lt;0,-BG215*BF215/12,0)</f>
        <v>-725.5479131961979</v>
      </c>
      <c r="BJ215" s="10">
        <f>IF(U215&lt;0,PMT(BF215/12,Podsumowanie!E$8-SUM(AB$5:AB215)+1,BG215),0)</f>
        <v>-1770.2425726999877</v>
      </c>
      <c r="BL215" s="11">
        <f>BL$5+SUM(BN$5:BN214)+SUM(R$5:R214)-SUM(S$5:S214)</f>
        <v>240668.52367688026</v>
      </c>
      <c r="BM215" s="11">
        <f t="shared" si="216"/>
        <v>-585.6267409470753</v>
      </c>
      <c r="BN215" s="11">
        <f t="shared" si="217"/>
        <v>-1114.2061281337049</v>
      </c>
      <c r="BO215" s="11">
        <f t="shared" si="191"/>
        <v>-1699.8328690807803</v>
      </c>
      <c r="BQ215" s="44">
        <f t="shared" si="263"/>
        <v>0.0293</v>
      </c>
      <c r="BR215" s="11">
        <f>BR$5+SUM(BS$5:BS214)+SUM(R$5:R214)-SUM(S$5:S214)+SUM(BV$5:BV214)</f>
        <v>307121.7400355607</v>
      </c>
      <c r="BS215" s="10">
        <f t="shared" si="273"/>
        <v>-1075.0067650341625</v>
      </c>
      <c r="BT215" s="10">
        <f t="shared" si="274"/>
        <v>-749.888915253494</v>
      </c>
      <c r="BU215" s="10">
        <f>IF(U215&lt;0,PMT(BQ215/12,Podsumowanie!E$8-SUM(AB$5:AB215)+1,BR215),0)</f>
        <v>-1824.8956802876567</v>
      </c>
      <c r="BV215" s="10">
        <f t="shared" si="268"/>
        <v>-405.61615774902543</v>
      </c>
      <c r="BX215" s="11">
        <f>BX$5+SUM(BZ$5:BZ214)+SUM(R$5:R214)-SUM(S$5:S214)+SUM(CB$5,CB214)</f>
        <v>240120.21478631048</v>
      </c>
      <c r="BY215" s="10">
        <f t="shared" si="264"/>
        <v>-586.2935244365748</v>
      </c>
      <c r="BZ215" s="10">
        <f t="shared" si="265"/>
        <v>-1111.6676610477336</v>
      </c>
      <c r="CA215" s="10">
        <f t="shared" si="275"/>
        <v>-1697.9611854843083</v>
      </c>
      <c r="CB215" s="10">
        <f t="shared" si="276"/>
        <v>-532.5506525523738</v>
      </c>
      <c r="CD215" s="10">
        <f>CD$5+SUM(CE$5:CE214)+SUM(R$5:R214)-SUM(S$5:S214)-SUM(CF$5:CF214)</f>
        <v>278223.33518920006</v>
      </c>
      <c r="CE215" s="10">
        <f t="shared" si="269"/>
        <v>586.2935244365748</v>
      </c>
      <c r="CF215" s="10">
        <f t="shared" si="270"/>
        <v>2230.511838036682</v>
      </c>
      <c r="CG215" s="10">
        <f t="shared" si="271"/>
        <v>1644.2183136001072</v>
      </c>
      <c r="CI215" s="44">
        <v>0.393</v>
      </c>
      <c r="CJ215" s="10">
        <f t="shared" si="272"/>
        <v>-876.59</v>
      </c>
      <c r="CK215" s="4">
        <f t="shared" si="277"/>
        <v>0</v>
      </c>
      <c r="CM215" s="10">
        <f t="shared" si="278"/>
        <v>-305416.4684634761</v>
      </c>
      <c r="CN215" s="4">
        <f t="shared" si="279"/>
        <v>-437.7636047976491</v>
      </c>
    </row>
    <row r="216" spans="1:92" ht="15.75">
      <c r="A216" s="36"/>
      <c r="B216" s="37">
        <v>43678</v>
      </c>
      <c r="C216" s="77">
        <f t="shared" si="260"/>
        <v>3.9844</v>
      </c>
      <c r="D216" s="79">
        <f>C216*(1+Podsumowanie!E$11)</f>
        <v>4.103932</v>
      </c>
      <c r="E216" s="34">
        <f t="shared" si="327"/>
        <v>-563.3279938145834</v>
      </c>
      <c r="F216" s="7">
        <f t="shared" si="328"/>
        <v>-2311.859780311471</v>
      </c>
      <c r="G216" s="7">
        <f t="shared" si="329"/>
        <v>-1242.4683365655314</v>
      </c>
      <c r="H216" s="7">
        <f t="shared" si="330"/>
        <v>1069.3914437459393</v>
      </c>
      <c r="I216" s="32"/>
      <c r="K216" s="4">
        <f>IF(B216&lt;Podsumowanie!E$7,0,K215+1)</f>
        <v>146</v>
      </c>
      <c r="L216" s="100">
        <f t="shared" si="261"/>
        <v>-0.0074</v>
      </c>
      <c r="M216" s="38">
        <f>L216+Podsumowanie!E$6</f>
        <v>0.0046</v>
      </c>
      <c r="N216" s="101">
        <f>MAX(Podsumowanie!E$4+SUM(AA$5:AA215)-SUM(X$5:X216)+SUM(W$5:W216),0)</f>
        <v>116756.08330787675</v>
      </c>
      <c r="O216" s="102">
        <f>MAX(Podsumowanie!E$2+SUM(V$5:V215)-SUM(S$5:S216)+SUM(R$5:R216),0)</f>
        <v>257515.5827586866</v>
      </c>
      <c r="P216" s="39">
        <f t="shared" si="192"/>
        <v>360</v>
      </c>
      <c r="Q216" s="40" t="str">
        <f>IF(AND(K216&gt;0,K216&lt;=Podsumowanie!E$9),"tak","nie")</f>
        <v>nie</v>
      </c>
      <c r="R216" s="41"/>
      <c r="S216" s="42"/>
      <c r="T216" s="88">
        <f t="shared" si="331"/>
        <v>-98.7143067241632</v>
      </c>
      <c r="U216" s="89">
        <f>IF(Q216="tak",T216,IF(P216-SUM(AB$5:AB216)+1&gt;0,IF(Podsumowanie!E$7&lt;B216,IF(SUM(AB$5:AB216)-Podsumowanie!E$9+1&gt;0,PMT(M216/12,P216+1-SUM(AB$5:AB216),O216),T216),0),0))</f>
        <v>-1242.4683365655314</v>
      </c>
      <c r="V216" s="89">
        <f t="shared" si="332"/>
        <v>-1143.7540298413683</v>
      </c>
      <c r="W216" s="90" t="str">
        <f>IF(R216&gt;0,R216/(C216*(1-Podsumowanie!E$11))," ")</f>
        <v xml:space="preserve"> </v>
      </c>
      <c r="X216" s="90">
        <f t="shared" si="266"/>
        <v>0</v>
      </c>
      <c r="Y216" s="91">
        <f t="shared" si="333"/>
        <v>-44.75649860135275</v>
      </c>
      <c r="Z216" s="90">
        <f>IF(P216-SUM(AB$5:AB216)+1&gt;0,IF(Podsumowanie!E$7&lt;B216,IF(SUM(AB$5:AB216)-Podsumowanie!E$9+1&gt;0,PMT(M216/12,P216+1-SUM(AB$5:AB216),N216),Y216),0),0)</f>
        <v>-563.3279938145834</v>
      </c>
      <c r="AA216" s="90">
        <f t="shared" si="334"/>
        <v>-518.5714952132306</v>
      </c>
      <c r="AB216" s="8">
        <f>IF(AND(Podsumowanie!E$7&lt;B216,SUM(AB$5:AB215)&lt;P215),1," ")</f>
        <v>1</v>
      </c>
      <c r="AD216" s="51">
        <f>IF(OR(B216&lt;Podsumowanie!E$12,Podsumowanie!E$12=""),-F216+S216,0)</f>
        <v>0</v>
      </c>
      <c r="AE216" s="51">
        <f t="shared" si="267"/>
        <v>563.3279938145834</v>
      </c>
      <c r="AG216" s="10">
        <f>Podsumowanie!E$4-SUM(AI$5:AI215)+SUM(W$42:W216)-SUM(X$42:X216)</f>
        <v>108612.62813555232</v>
      </c>
      <c r="AH216" s="10">
        <f t="shared" si="335"/>
        <v>41.63</v>
      </c>
      <c r="AI216" s="10">
        <f t="shared" si="336"/>
        <v>505.18</v>
      </c>
      <c r="AJ216" s="10">
        <f t="shared" si="337"/>
        <v>546.8100000000001</v>
      </c>
      <c r="AK216" s="10">
        <f t="shared" si="301"/>
        <v>2244.07</v>
      </c>
      <c r="AL216" s="10">
        <f>Podsumowanie!E$2-SUM(AN$5:AN215)+SUM(R$42:R216)-SUM(S$42:S216)</f>
        <v>239554.0699999998</v>
      </c>
      <c r="AM216" s="10">
        <f t="shared" si="338"/>
        <v>91.83</v>
      </c>
      <c r="AN216" s="10">
        <f t="shared" si="339"/>
        <v>1114.2</v>
      </c>
      <c r="AO216" s="10">
        <f t="shared" si="340"/>
        <v>1206.03</v>
      </c>
      <c r="AP216" s="10">
        <f t="shared" si="341"/>
        <v>1038.0400000000002</v>
      </c>
      <c r="AR216" s="43">
        <f t="shared" si="302"/>
        <v>43678</v>
      </c>
      <c r="AS216" s="11">
        <f>AS$5+SUM(AV$5:AV215)-SUM(X$5:X216)+SUM(W$5:W216)</f>
        <v>113253.40080864044</v>
      </c>
      <c r="AT216" s="10">
        <f t="shared" si="342"/>
        <v>-43.41380364331217</v>
      </c>
      <c r="AU216" s="10">
        <f>IF(AB216=1,IF(Q216="tak",AT216,PMT(M216/12,P216+1-SUM(AB$5:AB216),AS216)),0)</f>
        <v>-546.4281540001458</v>
      </c>
      <c r="AV216" s="10">
        <f t="shared" si="343"/>
        <v>-503.01435035683363</v>
      </c>
      <c r="AW216" s="10">
        <f t="shared" si="187"/>
        <v>-2177.188336798181</v>
      </c>
      <c r="AY216" s="11">
        <f>AY$5+SUM(BA$5:BA215)+SUM(W$5:W215)-SUM(X$5:X215)</f>
        <v>105354.08719148577</v>
      </c>
      <c r="AZ216" s="11">
        <f t="shared" si="344"/>
        <v>-43.41380364331217</v>
      </c>
      <c r="BA216" s="11">
        <f t="shared" si="345"/>
        <v>-490.02</v>
      </c>
      <c r="BB216" s="11">
        <f t="shared" si="346"/>
        <v>-533.4338036433121</v>
      </c>
      <c r="BC216" s="11">
        <f t="shared" si="303"/>
        <v>-2125.4136472364125</v>
      </c>
      <c r="BE216" s="172">
        <f t="shared" si="262"/>
        <v>0.0172</v>
      </c>
      <c r="BF216" s="44">
        <f>BE216+Podsumowanie!$E$6</f>
        <v>0.0292</v>
      </c>
      <c r="BG216" s="11">
        <f>BG$5+SUM(BH$5:BH215)+SUM(R$5:R215)-SUM(S$5:S215)</f>
        <v>297125.68062660494</v>
      </c>
      <c r="BH216" s="10">
        <f t="shared" si="347"/>
        <v>-1047.236749841916</v>
      </c>
      <c r="BI216" s="10">
        <f t="shared" si="348"/>
        <v>-723.005822858072</v>
      </c>
      <c r="BJ216" s="10">
        <f>IF(U216&lt;0,PMT(BF216/12,Podsumowanie!E$8-SUM(AB$5:AB216)+1,BG216),0)</f>
        <v>-1770.242572699988</v>
      </c>
      <c r="BL216" s="11">
        <f>BL$5+SUM(BN$5:BN215)+SUM(R$5:R215)-SUM(S$5:S215)</f>
        <v>239554.31754874656</v>
      </c>
      <c r="BM216" s="11">
        <f t="shared" si="216"/>
        <v>-582.9155060352833</v>
      </c>
      <c r="BN216" s="11">
        <f t="shared" si="217"/>
        <v>-1114.2061281337049</v>
      </c>
      <c r="BO216" s="11">
        <f t="shared" si="191"/>
        <v>-1697.1216341689883</v>
      </c>
      <c r="BQ216" s="44">
        <f t="shared" si="263"/>
        <v>0.0293</v>
      </c>
      <c r="BR216" s="11">
        <f>BR$5+SUM(BS$5:BS215)+SUM(R$5:R215)-SUM(S$5:S215)+SUM(BV$5:BV215)</f>
        <v>305641.1171127775</v>
      </c>
      <c r="BS216" s="10">
        <f t="shared" si="273"/>
        <v>-1076.2033443547612</v>
      </c>
      <c r="BT216" s="10">
        <f t="shared" si="274"/>
        <v>-746.2737276170318</v>
      </c>
      <c r="BU216" s="10">
        <f>IF(U216&lt;0,PMT(BQ216/12,Podsumowanie!E$8-SUM(AB$5:AB216)+1,BR216),0)</f>
        <v>-1822.4770719717928</v>
      </c>
      <c r="BV216" s="10">
        <f t="shared" si="268"/>
        <v>-489.38270833967795</v>
      </c>
      <c r="BX216" s="11">
        <f>BX$5+SUM(BZ$5:BZ215)+SUM(R$5:R215)-SUM(S$5:S215)+SUM(CB$5,CB215)</f>
        <v>238991.68035682326</v>
      </c>
      <c r="BY216" s="10">
        <f t="shared" si="264"/>
        <v>-583.5380195379101</v>
      </c>
      <c r="BZ216" s="10">
        <f t="shared" si="265"/>
        <v>-1111.5892109619685</v>
      </c>
      <c r="CA216" s="10">
        <f t="shared" si="275"/>
        <v>-1695.1272304998788</v>
      </c>
      <c r="CB216" s="10">
        <f t="shared" si="276"/>
        <v>-616.732549811592</v>
      </c>
      <c r="CD216" s="10">
        <f>CD$5+SUM(CE$5:CE215)+SUM(R$5:R215)-SUM(S$5:S215)-SUM(CF$5:CF215)</f>
        <v>276579.1168755999</v>
      </c>
      <c r="CE216" s="10">
        <f t="shared" si="269"/>
        <v>583.5380195379101</v>
      </c>
      <c r="CF216" s="10">
        <f t="shared" si="270"/>
        <v>2311.859780311471</v>
      </c>
      <c r="CG216" s="10">
        <f t="shared" si="271"/>
        <v>1728.3217607735605</v>
      </c>
      <c r="CI216" s="44">
        <v>0.393</v>
      </c>
      <c r="CJ216" s="10">
        <f t="shared" si="272"/>
        <v>-908.56</v>
      </c>
      <c r="CK216" s="4">
        <f t="shared" si="277"/>
        <v>0</v>
      </c>
      <c r="CM216" s="10">
        <f t="shared" si="278"/>
        <v>-307728.3282437876</v>
      </c>
      <c r="CN216" s="4">
        <f t="shared" si="279"/>
        <v>-441.07727048276223</v>
      </c>
    </row>
    <row r="217" spans="1:92" ht="15.75">
      <c r="A217" s="36"/>
      <c r="B217" s="37">
        <v>43709</v>
      </c>
      <c r="C217" s="77">
        <f t="shared" si="260"/>
        <v>3.9919</v>
      </c>
      <c r="D217" s="79">
        <f>C217*(1+Podsumowanie!E$11)</f>
        <v>4.111657</v>
      </c>
      <c r="E217" s="34">
        <f t="shared" si="327"/>
        <v>-557.3503092410706</v>
      </c>
      <c r="F217" s="7">
        <f t="shared" si="328"/>
        <v>-2291.6333004432126</v>
      </c>
      <c r="G217" s="7">
        <f t="shared" si="329"/>
        <v>-1229.2840391577756</v>
      </c>
      <c r="H217" s="7">
        <f t="shared" si="330"/>
        <v>1062.349261285437</v>
      </c>
      <c r="I217" s="32"/>
      <c r="K217" s="4">
        <f>IF(B217&lt;Podsumowanie!E$7,0,K216+1)</f>
        <v>147</v>
      </c>
      <c r="L217" s="100">
        <f t="shared" si="261"/>
        <v>-0.0086</v>
      </c>
      <c r="M217" s="38">
        <f>L217+Podsumowanie!E$6</f>
        <v>0.0034000000000000002</v>
      </c>
      <c r="N217" s="101">
        <f>MAX(Podsumowanie!E$4+SUM(AA$5:AA216)-SUM(X$5:X217)+SUM(W$5:W217),0)</f>
        <v>116237.5118126635</v>
      </c>
      <c r="O217" s="102">
        <f>MAX(Podsumowanie!E$2+SUM(V$5:V216)-SUM(S$5:S217)+SUM(R$5:R217),0)</f>
        <v>256371.82872884523</v>
      </c>
      <c r="P217" s="39">
        <f t="shared" si="192"/>
        <v>360</v>
      </c>
      <c r="Q217" s="40" t="str">
        <f>IF(AND(K217&gt;0,K217&lt;=Podsumowanie!E$9),"tak","nie")</f>
        <v>nie</v>
      </c>
      <c r="R217" s="41"/>
      <c r="S217" s="42"/>
      <c r="T217" s="88">
        <f t="shared" si="331"/>
        <v>-72.63868480650615</v>
      </c>
      <c r="U217" s="89">
        <f>IF(Q217="tak",T217,IF(P217-SUM(AB$5:AB217)+1&gt;0,IF(Podsumowanie!E$7&lt;B217,IF(SUM(AB$5:AB217)-Podsumowanie!E$9+1&gt;0,PMT(M217/12,P217+1-SUM(AB$5:AB217),O217),T217),0),0))</f>
        <v>-1229.2840391577756</v>
      </c>
      <c r="V217" s="89">
        <f t="shared" si="332"/>
        <v>-1156.6453543512694</v>
      </c>
      <c r="W217" s="90" t="str">
        <f>IF(R217&gt;0,R217/(C217*(1-Podsumowanie!E$11))," ")</f>
        <v xml:space="preserve"> </v>
      </c>
      <c r="X217" s="90">
        <f t="shared" si="266"/>
        <v>0</v>
      </c>
      <c r="Y217" s="91">
        <f t="shared" si="333"/>
        <v>-32.93396168025466</v>
      </c>
      <c r="Z217" s="90">
        <f>IF(P217-SUM(AB$5:AB217)+1&gt;0,IF(Podsumowanie!E$7&lt;B217,IF(SUM(AB$5:AB217)-Podsumowanie!E$9+1&gt;0,PMT(M217/12,P217+1-SUM(AB$5:AB217),N217),Y217),0),0)</f>
        <v>-557.3503092410706</v>
      </c>
      <c r="AA217" s="90">
        <f t="shared" si="334"/>
        <v>-524.4163475608159</v>
      </c>
      <c r="AB217" s="8">
        <f>IF(AND(Podsumowanie!E$7&lt;B217,SUM(AB$5:AB216)&lt;P216),1," ")</f>
        <v>1</v>
      </c>
      <c r="AD217" s="51">
        <f>IF(OR(B217&lt;Podsumowanie!E$12,Podsumowanie!E$12=""),-F217+S217,0)</f>
        <v>0</v>
      </c>
      <c r="AE217" s="51">
        <f t="shared" si="267"/>
        <v>557.3503092410706</v>
      </c>
      <c r="AG217" s="10">
        <f>Podsumowanie!E$4-SUM(AI$5:AI216)+SUM(W$42:W217)-SUM(X$42:X217)</f>
        <v>108107.44813555233</v>
      </c>
      <c r="AH217" s="10">
        <f t="shared" si="335"/>
        <v>30.63</v>
      </c>
      <c r="AI217" s="10">
        <f t="shared" si="336"/>
        <v>505.17</v>
      </c>
      <c r="AJ217" s="10">
        <f t="shared" si="337"/>
        <v>535.8000000000001</v>
      </c>
      <c r="AK217" s="10">
        <f t="shared" si="301"/>
        <v>2203.03</v>
      </c>
      <c r="AL217" s="10">
        <f>Podsumowanie!E$2-SUM(AN$5:AN216)+SUM(R$42:R217)-SUM(S$42:S217)</f>
        <v>238439.8699999998</v>
      </c>
      <c r="AM217" s="10">
        <f t="shared" si="338"/>
        <v>67.56</v>
      </c>
      <c r="AN217" s="10">
        <f t="shared" si="339"/>
        <v>1114.21</v>
      </c>
      <c r="AO217" s="10">
        <f t="shared" si="340"/>
        <v>1181.77</v>
      </c>
      <c r="AP217" s="10">
        <f t="shared" si="341"/>
        <v>1021.2600000000002</v>
      </c>
      <c r="AR217" s="43">
        <f t="shared" si="302"/>
        <v>43709</v>
      </c>
      <c r="AS217" s="11">
        <f>AS$5+SUM(AV$5:AV216)-SUM(X$5:X217)+SUM(W$5:W217)</f>
        <v>112750.38645828361</v>
      </c>
      <c r="AT217" s="10">
        <f t="shared" si="342"/>
        <v>-31.945942829847027</v>
      </c>
      <c r="AU217" s="10">
        <f>IF(AB217=1,IF(Q217="tak",AT217,PMT(M217/12,P217+1-SUM(AB$5:AB217),AS217)),0)</f>
        <v>-540.6297999638385</v>
      </c>
      <c r="AV217" s="10">
        <f t="shared" si="343"/>
        <v>-508.6838571339915</v>
      </c>
      <c r="AW217" s="10">
        <f t="shared" si="187"/>
        <v>-2158.140098475647</v>
      </c>
      <c r="AY217" s="11">
        <f>AY$5+SUM(BA$5:BA216)+SUM(W$5:W216)-SUM(X$5:X216)</f>
        <v>104864.06719148577</v>
      </c>
      <c r="AZ217" s="11">
        <f t="shared" si="344"/>
        <v>-31.945942829847027</v>
      </c>
      <c r="BA217" s="11">
        <f t="shared" si="345"/>
        <v>-490.02</v>
      </c>
      <c r="BB217" s="11">
        <f t="shared" si="346"/>
        <v>-521.965942829847</v>
      </c>
      <c r="BC217" s="11">
        <f t="shared" si="303"/>
        <v>-2083.635847182466</v>
      </c>
      <c r="BE217" s="172">
        <f t="shared" si="262"/>
        <v>0.0172</v>
      </c>
      <c r="BF217" s="44">
        <f>BE217+Podsumowanie!$E$6</f>
        <v>0.0292</v>
      </c>
      <c r="BG217" s="11">
        <f>BG$5+SUM(BH$5:BH216)+SUM(R$5:R216)-SUM(S$5:S216)</f>
        <v>296078.443876763</v>
      </c>
      <c r="BH217" s="10">
        <f t="shared" si="347"/>
        <v>-1049.7850259331976</v>
      </c>
      <c r="BI217" s="10">
        <f t="shared" si="348"/>
        <v>-720.45754676679</v>
      </c>
      <c r="BJ217" s="10">
        <f>IF(U217&lt;0,PMT(BF217/12,Podsumowanie!E$8-SUM(AB$5:AB217)+1,BG217),0)</f>
        <v>-1770.2425726999877</v>
      </c>
      <c r="BL217" s="11">
        <f>BL$5+SUM(BN$5:BN216)+SUM(R$5:R216)-SUM(S$5:S216)</f>
        <v>238440.11142061287</v>
      </c>
      <c r="BM217" s="11">
        <f t="shared" si="216"/>
        <v>-580.2042711234914</v>
      </c>
      <c r="BN217" s="11">
        <f t="shared" si="217"/>
        <v>-1114.206128133705</v>
      </c>
      <c r="BO217" s="11">
        <f t="shared" si="191"/>
        <v>-1694.4103992571963</v>
      </c>
      <c r="BQ217" s="44">
        <f t="shared" si="263"/>
        <v>0.0293</v>
      </c>
      <c r="BR217" s="11">
        <f>BR$5+SUM(BS$5:BS216)+SUM(R$5:R216)-SUM(S$5:S216)+SUM(BV$5:BV216)</f>
        <v>304075.53106008307</v>
      </c>
      <c r="BS217" s="10">
        <f t="shared" si="273"/>
        <v>-1077.0975807706868</v>
      </c>
      <c r="BT217" s="10">
        <f t="shared" si="274"/>
        <v>-742.4510883383695</v>
      </c>
      <c r="BU217" s="10">
        <f>IF(U217&lt;0,PMT(BQ217/12,Podsumowanie!E$8-SUM(AB$5:AB217)+1,BR217),0)</f>
        <v>-1819.5486691090564</v>
      </c>
      <c r="BV217" s="10">
        <f t="shared" si="268"/>
        <v>-472.08463133415626</v>
      </c>
      <c r="BX217" s="11">
        <f>BX$5+SUM(BZ$5:BZ216)+SUM(R$5:R216)-SUM(S$5:S216)+SUM(CB$5,CB216)</f>
        <v>237795.90924860205</v>
      </c>
      <c r="BY217" s="10">
        <f t="shared" si="264"/>
        <v>-580.6183450820033</v>
      </c>
      <c r="BZ217" s="10">
        <f t="shared" si="265"/>
        <v>-1111.19583761029</v>
      </c>
      <c r="CA217" s="10">
        <f t="shared" si="275"/>
        <v>-1691.8141826922933</v>
      </c>
      <c r="CB217" s="10">
        <f t="shared" si="276"/>
        <v>-599.8191177509193</v>
      </c>
      <c r="CD217" s="10">
        <f>CD$5+SUM(CE$5:CE216)+SUM(R$5:R216)-SUM(S$5:S216)-SUM(CF$5:CF216)</f>
        <v>274850.79511482624</v>
      </c>
      <c r="CE217" s="10">
        <f t="shared" si="269"/>
        <v>580.6183450820033</v>
      </c>
      <c r="CF217" s="10">
        <f t="shared" si="270"/>
        <v>2291.6333004432126</v>
      </c>
      <c r="CG217" s="10">
        <f t="shared" si="271"/>
        <v>1711.0149553612093</v>
      </c>
      <c r="CI217" s="44">
        <v>0.393</v>
      </c>
      <c r="CJ217" s="10">
        <f t="shared" si="272"/>
        <v>-900.61</v>
      </c>
      <c r="CK217" s="4">
        <f t="shared" si="277"/>
        <v>0</v>
      </c>
      <c r="CM217" s="10">
        <f t="shared" si="278"/>
        <v>-310019.9615442308</v>
      </c>
      <c r="CN217" s="4">
        <f t="shared" si="279"/>
        <v>-444.36194488006413</v>
      </c>
    </row>
    <row r="218" spans="1:92" ht="15.75">
      <c r="A218" s="36"/>
      <c r="B218" s="37">
        <v>43739</v>
      </c>
      <c r="C218" s="77">
        <f t="shared" si="260"/>
        <v>3.918</v>
      </c>
      <c r="D218" s="79">
        <f>C218*(1+Podsumowanie!E$11)</f>
        <v>4.03554</v>
      </c>
      <c r="E218" s="34">
        <f t="shared" si="327"/>
        <v>-557.3503092410706</v>
      </c>
      <c r="F218" s="7">
        <f t="shared" si="328"/>
        <v>-2249.20946695471</v>
      </c>
      <c r="G218" s="7">
        <f t="shared" si="329"/>
        <v>-1229.2840391577756</v>
      </c>
      <c r="H218" s="7">
        <f t="shared" si="330"/>
        <v>1019.9254277969344</v>
      </c>
      <c r="I218" s="32"/>
      <c r="K218" s="4">
        <f>IF(B218&lt;Podsumowanie!E$7,0,K217+1)</f>
        <v>148</v>
      </c>
      <c r="L218" s="100">
        <f t="shared" si="261"/>
        <v>-0.0086</v>
      </c>
      <c r="M218" s="38">
        <f>L218+Podsumowanie!E$6</f>
        <v>0.0034000000000000002</v>
      </c>
      <c r="N218" s="101">
        <f>MAX(Podsumowanie!E$4+SUM(AA$5:AA217)-SUM(X$5:X218)+SUM(W$5:W218),0)</f>
        <v>115713.09546510268</v>
      </c>
      <c r="O218" s="102">
        <f>MAX(Podsumowanie!E$2+SUM(V$5:V217)-SUM(S$5:S218)+SUM(R$5:R218),0)</f>
        <v>255215.18337449396</v>
      </c>
      <c r="P218" s="39">
        <f t="shared" si="192"/>
        <v>360</v>
      </c>
      <c r="Q218" s="40" t="str">
        <f>IF(AND(K218&gt;0,K218&lt;=Podsumowanie!E$9),"tak","nie")</f>
        <v>nie</v>
      </c>
      <c r="R218" s="41"/>
      <c r="S218" s="42"/>
      <c r="T218" s="88">
        <f t="shared" si="331"/>
        <v>-72.3109686227733</v>
      </c>
      <c r="U218" s="89">
        <f>IF(Q218="tak",T218,IF(P218-SUM(AB$5:AB218)+1&gt;0,IF(Podsumowanie!E$7&lt;B218,IF(SUM(AB$5:AB218)-Podsumowanie!E$9+1&gt;0,PMT(M218/12,P218+1-SUM(AB$5:AB218),O218),T218),0),0))</f>
        <v>-1229.2840391577756</v>
      </c>
      <c r="V218" s="89">
        <f t="shared" si="332"/>
        <v>-1156.9730705350023</v>
      </c>
      <c r="W218" s="90" t="str">
        <f>IF(R218&gt;0,R218/(C218*(1-Podsumowanie!E$11))," ")</f>
        <v xml:space="preserve"> </v>
      </c>
      <c r="X218" s="90">
        <f t="shared" si="266"/>
        <v>0</v>
      </c>
      <c r="Y218" s="91">
        <f t="shared" si="333"/>
        <v>-32.78537704844576</v>
      </c>
      <c r="Z218" s="90">
        <f>IF(P218-SUM(AB$5:AB218)+1&gt;0,IF(Podsumowanie!E$7&lt;B218,IF(SUM(AB$5:AB218)-Podsumowanie!E$9+1&gt;0,PMT(M218/12,P218+1-SUM(AB$5:AB218),N218),Y218),0),0)</f>
        <v>-557.3503092410706</v>
      </c>
      <c r="AA218" s="90">
        <f t="shared" si="334"/>
        <v>-524.5649321926248</v>
      </c>
      <c r="AB218" s="8">
        <f>IF(AND(Podsumowanie!E$7&lt;B218,SUM(AB$5:AB217)&lt;P217),1," ")</f>
        <v>1</v>
      </c>
      <c r="AD218" s="51">
        <f>IF(OR(B218&lt;Podsumowanie!E$12,Podsumowanie!E$12=""),-F218+S218,0)</f>
        <v>0</v>
      </c>
      <c r="AE218" s="51">
        <f t="shared" si="267"/>
        <v>557.3503092410706</v>
      </c>
      <c r="AG218" s="10">
        <f>Podsumowanie!E$4-SUM(AI$5:AI217)+SUM(W$42:W218)-SUM(X$42:X218)</f>
        <v>107602.27813555233</v>
      </c>
      <c r="AH218" s="10">
        <f t="shared" si="335"/>
        <v>30.49</v>
      </c>
      <c r="AI218" s="10">
        <f t="shared" si="336"/>
        <v>505.18</v>
      </c>
      <c r="AJ218" s="10">
        <f t="shared" si="337"/>
        <v>535.67</v>
      </c>
      <c r="AK218" s="10">
        <f t="shared" si="301"/>
        <v>2161.72</v>
      </c>
      <c r="AL218" s="10">
        <f>Podsumowanie!E$2-SUM(AN$5:AN217)+SUM(R$42:R218)-SUM(S$42:S218)</f>
        <v>237325.6599999998</v>
      </c>
      <c r="AM218" s="10">
        <f t="shared" si="338"/>
        <v>67.24</v>
      </c>
      <c r="AN218" s="10">
        <f t="shared" si="339"/>
        <v>1114.2</v>
      </c>
      <c r="AO218" s="10">
        <f t="shared" si="340"/>
        <v>1181.44</v>
      </c>
      <c r="AP218" s="10">
        <f t="shared" si="341"/>
        <v>980.2799999999997</v>
      </c>
      <c r="AR218" s="43">
        <f t="shared" si="302"/>
        <v>43739</v>
      </c>
      <c r="AS218" s="11">
        <f>AS$5+SUM(AV$5:AV217)-SUM(X$5:X218)+SUM(W$5:W218)</f>
        <v>112241.70260114962</v>
      </c>
      <c r="AT218" s="10">
        <f t="shared" si="342"/>
        <v>-31.801815736992396</v>
      </c>
      <c r="AU218" s="10">
        <f>IF(AB218=1,IF(Q218="tak",AT218,PMT(M218/12,P218+1-SUM(AB$5:AB218),AS218)),0)</f>
        <v>-540.6297999638385</v>
      </c>
      <c r="AV218" s="10">
        <f t="shared" si="343"/>
        <v>-508.8279842268461</v>
      </c>
      <c r="AW218" s="10">
        <f t="shared" si="187"/>
        <v>-2118.1875562583195</v>
      </c>
      <c r="AY218" s="11">
        <f>AY$5+SUM(BA$5:BA217)+SUM(W$5:W217)-SUM(X$5:X217)</f>
        <v>104374.04719148576</v>
      </c>
      <c r="AZ218" s="11">
        <f t="shared" si="344"/>
        <v>-31.801815736992396</v>
      </c>
      <c r="BA218" s="11">
        <f t="shared" si="345"/>
        <v>-490.02</v>
      </c>
      <c r="BB218" s="11">
        <f t="shared" si="346"/>
        <v>-521.8218157369923</v>
      </c>
      <c r="BC218" s="11">
        <f t="shared" si="303"/>
        <v>-2044.4978740575361</v>
      </c>
      <c r="BE218" s="172">
        <f t="shared" si="262"/>
        <v>0.0172</v>
      </c>
      <c r="BF218" s="44">
        <f>BE218+Podsumowanie!$E$6</f>
        <v>0.0292</v>
      </c>
      <c r="BG218" s="11">
        <f>BG$5+SUM(BH$5:BH217)+SUM(R$5:R217)-SUM(S$5:S217)</f>
        <v>295028.6588508298</v>
      </c>
      <c r="BH218" s="10">
        <f t="shared" si="347"/>
        <v>-1052.339502829635</v>
      </c>
      <c r="BI218" s="10">
        <f t="shared" si="348"/>
        <v>-717.9030698703526</v>
      </c>
      <c r="BJ218" s="10">
        <f>IF(U218&lt;0,PMT(BF218/12,Podsumowanie!E$8-SUM(AB$5:AB218)+1,BG218),0)</f>
        <v>-1770.2425726999877</v>
      </c>
      <c r="BL218" s="11">
        <f>BL$5+SUM(BN$5:BN217)+SUM(R$5:R217)-SUM(S$5:S217)</f>
        <v>237325.90529247918</v>
      </c>
      <c r="BM218" s="11">
        <f t="shared" si="216"/>
        <v>-577.4930362116994</v>
      </c>
      <c r="BN218" s="11">
        <f t="shared" si="217"/>
        <v>-1114.206128133705</v>
      </c>
      <c r="BO218" s="11">
        <f t="shared" si="191"/>
        <v>-1691.6991643454044</v>
      </c>
      <c r="BQ218" s="44">
        <f t="shared" si="263"/>
        <v>0.0293</v>
      </c>
      <c r="BR218" s="11">
        <f>BR$5+SUM(BS$5:BS217)+SUM(R$5:R217)-SUM(S$5:S217)+SUM(BV$5:BV217)</f>
        <v>302526.3488479782</v>
      </c>
      <c r="BS218" s="10">
        <f t="shared" si="273"/>
        <v>-1078.0452320130457</v>
      </c>
      <c r="BT218" s="10">
        <f t="shared" si="274"/>
        <v>-738.6685017704802</v>
      </c>
      <c r="BU218" s="10">
        <f>IF(U218&lt;0,PMT(BQ218/12,Podsumowanie!E$8-SUM(AB$5:AB218)+1,BR218),0)</f>
        <v>-1816.7137337835259</v>
      </c>
      <c r="BV218" s="10">
        <f t="shared" si="268"/>
        <v>-432.49573317118416</v>
      </c>
      <c r="BX218" s="11">
        <f>BX$5+SUM(BZ$5:BZ217)+SUM(R$5:R217)-SUM(S$5:S217)+SUM(CB$5,CB217)</f>
        <v>236701.62684305245</v>
      </c>
      <c r="BY218" s="10">
        <f t="shared" si="264"/>
        <v>-577.9464722084531</v>
      </c>
      <c r="BZ218" s="10">
        <f t="shared" si="265"/>
        <v>-1111.2752433946125</v>
      </c>
      <c r="CA218" s="10">
        <f t="shared" si="275"/>
        <v>-1689.2217156030656</v>
      </c>
      <c r="CB218" s="10">
        <f t="shared" si="276"/>
        <v>-559.9877513516444</v>
      </c>
      <c r="CD218" s="10">
        <f>CD$5+SUM(CE$5:CE217)+SUM(R$5:R217)-SUM(S$5:S217)-SUM(CF$5:CF217)</f>
        <v>273139.78015946504</v>
      </c>
      <c r="CE218" s="10">
        <f t="shared" si="269"/>
        <v>577.9464722084531</v>
      </c>
      <c r="CF218" s="10">
        <f t="shared" si="270"/>
        <v>2249.20946695471</v>
      </c>
      <c r="CG218" s="10">
        <f t="shared" si="271"/>
        <v>1671.262994746257</v>
      </c>
      <c r="CI218" s="44">
        <v>0.393</v>
      </c>
      <c r="CJ218" s="10">
        <f t="shared" si="272"/>
        <v>-883.94</v>
      </c>
      <c r="CK218" s="4">
        <f t="shared" si="277"/>
        <v>0</v>
      </c>
      <c r="CM218" s="10">
        <f t="shared" si="278"/>
        <v>-312269.1710111855</v>
      </c>
      <c r="CN218" s="4">
        <f t="shared" si="279"/>
        <v>-447.58581178269924</v>
      </c>
    </row>
    <row r="219" spans="1:92" ht="15.75">
      <c r="A219" s="36"/>
      <c r="B219" s="37">
        <v>43770</v>
      </c>
      <c r="C219" s="77">
        <f t="shared" si="260"/>
        <v>3.902</v>
      </c>
      <c r="D219" s="79">
        <f>C219*(1+Podsumowanie!E$11)</f>
        <v>4.0190600000000005</v>
      </c>
      <c r="E219" s="34">
        <f t="shared" si="327"/>
        <v>-562.2830657441853</v>
      </c>
      <c r="F219" s="7">
        <f t="shared" si="328"/>
        <v>-2259.8493782098253</v>
      </c>
      <c r="G219" s="7">
        <f t="shared" si="329"/>
        <v>-1240.1636578424548</v>
      </c>
      <c r="H219" s="7">
        <f t="shared" si="330"/>
        <v>1019.6857203673705</v>
      </c>
      <c r="I219" s="32"/>
      <c r="K219" s="4">
        <f>IF(B219&lt;Podsumowanie!E$7,0,K218+1)</f>
        <v>149</v>
      </c>
      <c r="L219" s="100">
        <f t="shared" si="261"/>
        <v>-0.0076</v>
      </c>
      <c r="M219" s="38">
        <f>L219+Podsumowanie!E$6</f>
        <v>0.0044</v>
      </c>
      <c r="N219" s="101">
        <f>MAX(Podsumowanie!E$4+SUM(AA$5:AA218)-SUM(X$5:X219)+SUM(W$5:W219),0)</f>
        <v>115188.53053291005</v>
      </c>
      <c r="O219" s="102">
        <f>MAX(Podsumowanie!E$2+SUM(V$5:V218)-SUM(S$5:S219)+SUM(R$5:R219),0)</f>
        <v>254058.21030395897</v>
      </c>
      <c r="P219" s="39">
        <f t="shared" si="192"/>
        <v>360</v>
      </c>
      <c r="Q219" s="40" t="str">
        <f>IF(AND(K219&gt;0,K219&lt;=Podsumowanie!E$9),"tak","nie")</f>
        <v>nie</v>
      </c>
      <c r="R219" s="41"/>
      <c r="S219" s="42"/>
      <c r="T219" s="88">
        <f t="shared" si="331"/>
        <v>-93.15467711145163</v>
      </c>
      <c r="U219" s="89">
        <f>IF(Q219="tak",T219,IF(P219-SUM(AB$5:AB219)+1&gt;0,IF(Podsumowanie!E$7&lt;B219,IF(SUM(AB$5:AB219)-Podsumowanie!E$9+1&gt;0,PMT(M219/12,P219+1-SUM(AB$5:AB219),O219),T219),0),0))</f>
        <v>-1240.1636578424548</v>
      </c>
      <c r="V219" s="89">
        <f t="shared" si="332"/>
        <v>-1147.0089807310032</v>
      </c>
      <c r="W219" s="90" t="str">
        <f>IF(R219&gt;0,R219/(C219*(1-Podsumowanie!E$11))," ")</f>
        <v xml:space="preserve"> </v>
      </c>
      <c r="X219" s="90">
        <f t="shared" si="266"/>
        <v>0</v>
      </c>
      <c r="Y219" s="91">
        <f t="shared" si="333"/>
        <v>-42.235794528733685</v>
      </c>
      <c r="Z219" s="90">
        <f>IF(P219-SUM(AB$5:AB219)+1&gt;0,IF(Podsumowanie!E$7&lt;B219,IF(SUM(AB$5:AB219)-Podsumowanie!E$9+1&gt;0,PMT(M219/12,P219+1-SUM(AB$5:AB219),N219),Y219),0),0)</f>
        <v>-562.2830657441853</v>
      </c>
      <c r="AA219" s="90">
        <f t="shared" si="334"/>
        <v>-520.0472712154516</v>
      </c>
      <c r="AB219" s="8">
        <f>IF(AND(Podsumowanie!E$7&lt;B219,SUM(AB$5:AB218)&lt;P218),1," ")</f>
        <v>1</v>
      </c>
      <c r="AD219" s="51">
        <f>IF(OR(B219&lt;Podsumowanie!E$12,Podsumowanie!E$12=""),-F219+S219,0)</f>
        <v>0</v>
      </c>
      <c r="AE219" s="51">
        <f t="shared" si="267"/>
        <v>562.2830657441853</v>
      </c>
      <c r="AG219" s="10">
        <f>Podsumowanie!E$4-SUM(AI$5:AI218)+SUM(W$42:W219)-SUM(X$42:X219)</f>
        <v>107097.09813555234</v>
      </c>
      <c r="AH219" s="10">
        <f t="shared" si="335"/>
        <v>39.27</v>
      </c>
      <c r="AI219" s="10">
        <f t="shared" si="336"/>
        <v>505.17</v>
      </c>
      <c r="AJ219" s="10">
        <f t="shared" si="337"/>
        <v>544.44</v>
      </c>
      <c r="AK219" s="10">
        <f t="shared" si="301"/>
        <v>2188.14</v>
      </c>
      <c r="AL219" s="10">
        <f>Podsumowanie!E$2-SUM(AN$5:AN218)+SUM(R$42:R219)-SUM(S$42:S219)</f>
        <v>236211.4599999998</v>
      </c>
      <c r="AM219" s="10">
        <f t="shared" si="338"/>
        <v>86.61</v>
      </c>
      <c r="AN219" s="10">
        <f t="shared" si="339"/>
        <v>1114.21</v>
      </c>
      <c r="AO219" s="10">
        <f t="shared" si="340"/>
        <v>1200.82</v>
      </c>
      <c r="AP219" s="10">
        <f t="shared" si="341"/>
        <v>987.3199999999999</v>
      </c>
      <c r="AR219" s="43">
        <f t="shared" si="302"/>
        <v>43770</v>
      </c>
      <c r="AS219" s="11">
        <f>AS$5+SUM(AV$5:AV218)-SUM(X$5:X219)+SUM(W$5:W219)</f>
        <v>111732.87461692277</v>
      </c>
      <c r="AT219" s="10">
        <f t="shared" si="342"/>
        <v>-40.968720692871685</v>
      </c>
      <c r="AU219" s="10">
        <f>IF(AB219=1,IF(Q219="tak",AT219,PMT(M219/12,P219+1-SUM(AB$5:AB219),AS219)),0)</f>
        <v>-545.4145737718598</v>
      </c>
      <c r="AV219" s="10">
        <f t="shared" si="343"/>
        <v>-504.4458530789881</v>
      </c>
      <c r="AW219" s="10">
        <f t="shared" si="187"/>
        <v>-2128.207666857797</v>
      </c>
      <c r="AY219" s="11">
        <f>AY$5+SUM(BA$5:BA218)+SUM(W$5:W218)-SUM(X$5:X218)</f>
        <v>103884.02719148576</v>
      </c>
      <c r="AZ219" s="11">
        <f t="shared" si="344"/>
        <v>-40.968720692871685</v>
      </c>
      <c r="BA219" s="11">
        <f t="shared" si="345"/>
        <v>-490.02</v>
      </c>
      <c r="BB219" s="11">
        <f t="shared" si="346"/>
        <v>-530.9887206928717</v>
      </c>
      <c r="BC219" s="11">
        <f t="shared" si="303"/>
        <v>-2071.9179881435853</v>
      </c>
      <c r="BE219" s="172">
        <f t="shared" si="262"/>
        <v>0.0171</v>
      </c>
      <c r="BF219" s="44">
        <f>BE219+Podsumowanie!$E$6</f>
        <v>0.0291</v>
      </c>
      <c r="BG219" s="11">
        <f>BG$5+SUM(BH$5:BH218)+SUM(R$5:R218)-SUM(S$5:S218)</f>
        <v>293976.31934800016</v>
      </c>
      <c r="BH219" s="10">
        <f t="shared" si="347"/>
        <v>-1055.9103341539553</v>
      </c>
      <c r="BI219" s="10">
        <f t="shared" si="348"/>
        <v>-712.8925744189005</v>
      </c>
      <c r="BJ219" s="10">
        <f>IF(U219&lt;0,PMT(BF219/12,Podsumowanie!E$8-SUM(AB$5:AB219)+1,BG219),0)</f>
        <v>-1768.8029085728558</v>
      </c>
      <c r="BL219" s="11">
        <f>BL$5+SUM(BN$5:BN218)+SUM(R$5:R218)-SUM(S$5:S218)</f>
        <v>236211.69916434548</v>
      </c>
      <c r="BM219" s="11">
        <f t="shared" si="216"/>
        <v>-572.8133704735378</v>
      </c>
      <c r="BN219" s="11">
        <f t="shared" si="217"/>
        <v>-1114.206128133705</v>
      </c>
      <c r="BO219" s="11">
        <f t="shared" si="191"/>
        <v>-1687.019498607243</v>
      </c>
      <c r="BQ219" s="44">
        <f t="shared" si="263"/>
        <v>0.0292</v>
      </c>
      <c r="BR219" s="11">
        <f>BR$5+SUM(BS$5:BS218)+SUM(R$5:R218)-SUM(S$5:S218)+SUM(BV$5:BV218)</f>
        <v>301015.807882794</v>
      </c>
      <c r="BS219" s="10">
        <f t="shared" si="273"/>
        <v>-1080.160590228806</v>
      </c>
      <c r="BT219" s="10">
        <f t="shared" si="274"/>
        <v>-732.4717991814655</v>
      </c>
      <c r="BU219" s="10">
        <f>IF(U219&lt;0,PMT(BQ219/12,Podsumowanie!E$8-SUM(AB$5:AB219)+1,BR219),0)</f>
        <v>-1812.6323894102716</v>
      </c>
      <c r="BV219" s="10">
        <f t="shared" si="268"/>
        <v>-447.21698879955375</v>
      </c>
      <c r="BX219" s="11">
        <f>BX$5+SUM(BZ$5:BZ218)+SUM(R$5:R218)-SUM(S$5:S218)+SUM(CB$5,CB218)</f>
        <v>235630.18296605712</v>
      </c>
      <c r="BY219" s="10">
        <f t="shared" si="264"/>
        <v>-573.366778550739</v>
      </c>
      <c r="BZ219" s="10">
        <f t="shared" si="265"/>
        <v>-1111.4631271983826</v>
      </c>
      <c r="CA219" s="10">
        <f t="shared" si="275"/>
        <v>-1684.8299057491217</v>
      </c>
      <c r="CB219" s="10">
        <f t="shared" si="276"/>
        <v>-575.0194724607036</v>
      </c>
      <c r="CD219" s="10">
        <f>CD$5+SUM(CE$5:CE218)+SUM(R$5:R218)-SUM(S$5:S218)-SUM(CF$5:CF218)</f>
        <v>271468.5171647188</v>
      </c>
      <c r="CE219" s="10">
        <f t="shared" si="269"/>
        <v>573.366778550739</v>
      </c>
      <c r="CF219" s="10">
        <f t="shared" si="270"/>
        <v>2259.8493782098253</v>
      </c>
      <c r="CG219" s="10">
        <f t="shared" si="271"/>
        <v>1686.4825996590862</v>
      </c>
      <c r="CI219" s="44">
        <v>0.3902</v>
      </c>
      <c r="CJ219" s="10">
        <f t="shared" si="272"/>
        <v>-881.79</v>
      </c>
      <c r="CK219" s="4">
        <f t="shared" si="277"/>
        <v>0</v>
      </c>
      <c r="CM219" s="10">
        <f t="shared" si="278"/>
        <v>-314529.02038939536</v>
      </c>
      <c r="CN219" s="4">
        <f t="shared" si="279"/>
        <v>-448.2038540548884</v>
      </c>
    </row>
    <row r="220" spans="1:92" ht="15.75">
      <c r="A220" s="36"/>
      <c r="B220" s="37">
        <v>43800</v>
      </c>
      <c r="C220" s="77">
        <f t="shared" si="260"/>
        <v>3.9087</v>
      </c>
      <c r="D220" s="79">
        <f>C220*(1+Podsumowanie!E$11)</f>
        <v>4.025961000000001</v>
      </c>
      <c r="E220" s="34">
        <f t="shared" si="327"/>
        <v>-562.2830657441853</v>
      </c>
      <c r="F220" s="7">
        <f t="shared" si="328"/>
        <v>-2263.729693646526</v>
      </c>
      <c r="G220" s="7">
        <f t="shared" si="329"/>
        <v>-1240.1636578424548</v>
      </c>
      <c r="H220" s="7">
        <f t="shared" si="330"/>
        <v>1023.5660358040711</v>
      </c>
      <c r="I220" s="32"/>
      <c r="K220" s="4">
        <f>IF(B220&lt;Podsumowanie!E$7,0,K219+1)</f>
        <v>150</v>
      </c>
      <c r="L220" s="100">
        <f t="shared" si="261"/>
        <v>-0.0076</v>
      </c>
      <c r="M220" s="38">
        <f>L220+Podsumowanie!E$6</f>
        <v>0.0044</v>
      </c>
      <c r="N220" s="101">
        <f>MAX(Podsumowanie!E$4+SUM(AA$5:AA219)-SUM(X$5:X220)+SUM(W$5:W220),0)</f>
        <v>114668.4832616946</v>
      </c>
      <c r="O220" s="102">
        <f>MAX(Podsumowanie!E$2+SUM(V$5:V219)-SUM(S$5:S220)+SUM(R$5:R220),0)</f>
        <v>252911.20132322796</v>
      </c>
      <c r="P220" s="39">
        <f t="shared" si="192"/>
        <v>360</v>
      </c>
      <c r="Q220" s="40" t="str">
        <f>IF(AND(K220&gt;0,K220&lt;=Podsumowanie!E$9),"tak","nie")</f>
        <v>nie</v>
      </c>
      <c r="R220" s="41"/>
      <c r="S220" s="42"/>
      <c r="T220" s="88">
        <f t="shared" si="331"/>
        <v>-92.73410715185025</v>
      </c>
      <c r="U220" s="89">
        <f>IF(Q220="tak",T220,IF(P220-SUM(AB$5:AB220)+1&gt;0,IF(Podsumowanie!E$7&lt;B220,IF(SUM(AB$5:AB220)-Podsumowanie!E$9+1&gt;0,PMT(M220/12,P220+1-SUM(AB$5:AB220),O220),T220),0),0))</f>
        <v>-1240.1636578424548</v>
      </c>
      <c r="V220" s="89">
        <f t="shared" si="332"/>
        <v>-1147.4295506906046</v>
      </c>
      <c r="W220" s="90" t="str">
        <f>IF(R220&gt;0,R220/(C220*(1-Podsumowanie!E$11))," ")</f>
        <v xml:space="preserve"> </v>
      </c>
      <c r="X220" s="90">
        <f t="shared" si="266"/>
        <v>0</v>
      </c>
      <c r="Y220" s="91">
        <f t="shared" si="333"/>
        <v>-42.04511052928802</v>
      </c>
      <c r="Z220" s="90">
        <f>IF(P220-SUM(AB$5:AB220)+1&gt;0,IF(Podsumowanie!E$7&lt;B220,IF(SUM(AB$5:AB220)-Podsumowanie!E$9+1&gt;0,PMT(M220/12,P220+1-SUM(AB$5:AB220),N220),Y220),0),0)</f>
        <v>-562.2830657441853</v>
      </c>
      <c r="AA220" s="90">
        <f t="shared" si="334"/>
        <v>-520.2379552148973</v>
      </c>
      <c r="AB220" s="8">
        <f>IF(AND(Podsumowanie!E$7&lt;B220,SUM(AB$5:AB219)&lt;P219),1," ")</f>
        <v>1</v>
      </c>
      <c r="AD220" s="51">
        <f>IF(OR(B220&lt;Podsumowanie!E$12,Podsumowanie!E$12=""),-F220+S220,0)</f>
        <v>0</v>
      </c>
      <c r="AE220" s="51">
        <f t="shared" si="267"/>
        <v>562.2830657441853</v>
      </c>
      <c r="AG220" s="10">
        <f>Podsumowanie!E$4-SUM(AI$5:AI219)+SUM(W$42:W220)-SUM(X$42:X220)</f>
        <v>106591.92813555234</v>
      </c>
      <c r="AH220" s="10">
        <f t="shared" si="335"/>
        <v>39.08</v>
      </c>
      <c r="AI220" s="10">
        <f t="shared" si="336"/>
        <v>505.18</v>
      </c>
      <c r="AJ220" s="10">
        <f t="shared" si="337"/>
        <v>544.26</v>
      </c>
      <c r="AK220" s="10">
        <f t="shared" si="301"/>
        <v>2191.17</v>
      </c>
      <c r="AL220" s="10">
        <f>Podsumowanie!E$2-SUM(AN$5:AN219)+SUM(R$42:R220)-SUM(S$42:S220)</f>
        <v>235097.2499999998</v>
      </c>
      <c r="AM220" s="10">
        <f t="shared" si="338"/>
        <v>86.2</v>
      </c>
      <c r="AN220" s="10">
        <f t="shared" si="339"/>
        <v>1114.2</v>
      </c>
      <c r="AO220" s="10">
        <f t="shared" si="340"/>
        <v>1200.4</v>
      </c>
      <c r="AP220" s="10">
        <f t="shared" si="341"/>
        <v>990.77</v>
      </c>
      <c r="AR220" s="43">
        <f t="shared" si="302"/>
        <v>43800</v>
      </c>
      <c r="AS220" s="11">
        <f>AS$5+SUM(AV$5:AV219)-SUM(X$5:X220)+SUM(W$5:W220)</f>
        <v>111228.42876384378</v>
      </c>
      <c r="AT220" s="10">
        <f t="shared" si="342"/>
        <v>-40.78375721340939</v>
      </c>
      <c r="AU220" s="10">
        <f>IF(AB220=1,IF(Q220="tak",AT220,PMT(M220/12,P220+1-SUM(AB$5:AB220),AS220)),0)</f>
        <v>-545.4145737718599</v>
      </c>
      <c r="AV220" s="10">
        <f t="shared" si="343"/>
        <v>-504.6308165584505</v>
      </c>
      <c r="AW220" s="10">
        <f t="shared" si="187"/>
        <v>-2131.8619445020686</v>
      </c>
      <c r="AY220" s="11">
        <f>AY$5+SUM(BA$5:BA219)+SUM(W$5:W219)-SUM(X$5:X219)</f>
        <v>103394.00719148575</v>
      </c>
      <c r="AZ220" s="11">
        <f t="shared" si="344"/>
        <v>-40.78375721340939</v>
      </c>
      <c r="BA220" s="11">
        <f t="shared" si="345"/>
        <v>-490.02</v>
      </c>
      <c r="BB220" s="11">
        <f t="shared" si="346"/>
        <v>-530.8037572134094</v>
      </c>
      <c r="BC220" s="11">
        <f t="shared" si="303"/>
        <v>-2074.7526458200537</v>
      </c>
      <c r="BE220" s="172">
        <f t="shared" si="262"/>
        <v>0.017</v>
      </c>
      <c r="BF220" s="44">
        <f>BE220+Podsumowanie!$E$6</f>
        <v>0.029</v>
      </c>
      <c r="BG220" s="11">
        <f>BG$5+SUM(BH$5:BH219)+SUM(R$5:R219)-SUM(S$5:S219)</f>
        <v>292920.4090138462</v>
      </c>
      <c r="BH220" s="10">
        <f t="shared" si="347"/>
        <v>-1059.4790582003093</v>
      </c>
      <c r="BI220" s="10">
        <f t="shared" si="348"/>
        <v>-707.8909884501282</v>
      </c>
      <c r="BJ220" s="10">
        <f>IF(U220&lt;0,PMT(BF220/12,Podsumowanie!E$8-SUM(AB$5:AB220)+1,BG220),0)</f>
        <v>-1767.3700466504376</v>
      </c>
      <c r="BL220" s="11">
        <f>BL$5+SUM(BN$5:BN219)+SUM(R$5:R219)-SUM(S$5:S219)</f>
        <v>235097.4930362118</v>
      </c>
      <c r="BM220" s="11">
        <f t="shared" si="216"/>
        <v>-568.1522748375119</v>
      </c>
      <c r="BN220" s="11">
        <f t="shared" si="217"/>
        <v>-1114.206128133705</v>
      </c>
      <c r="BO220" s="11">
        <f t="shared" si="191"/>
        <v>-1682.358402971217</v>
      </c>
      <c r="BQ220" s="44">
        <f t="shared" si="263"/>
        <v>0.0291</v>
      </c>
      <c r="BR220" s="11">
        <f>BR$5+SUM(BS$5:BS219)+SUM(R$5:R219)-SUM(S$5:S219)+SUM(BV$5:BV219)</f>
        <v>299488.4303037657</v>
      </c>
      <c r="BS220" s="10">
        <f t="shared" si="273"/>
        <v>-1082.2045293333003</v>
      </c>
      <c r="BT220" s="10">
        <f t="shared" si="274"/>
        <v>-726.2594434866319</v>
      </c>
      <c r="BU220" s="10">
        <f>IF(U220&lt;0,PMT(BQ220/12,Podsumowanie!E$8-SUM(AB$5:AB220)+1,BR220),0)</f>
        <v>-1808.4639728199322</v>
      </c>
      <c r="BV220" s="10">
        <f t="shared" si="268"/>
        <v>-455.2657208265937</v>
      </c>
      <c r="BX220" s="11">
        <f>BX$5+SUM(BZ$5:BZ219)+SUM(R$5:R219)-SUM(S$5:S219)+SUM(CB$5,CB219)</f>
        <v>234503.68811774967</v>
      </c>
      <c r="BY220" s="10">
        <f t="shared" si="264"/>
        <v>-568.671443685543</v>
      </c>
      <c r="BZ220" s="10">
        <f t="shared" si="265"/>
        <v>-1111.3918868139795</v>
      </c>
      <c r="CA220" s="10">
        <f t="shared" si="275"/>
        <v>-1680.0633304995224</v>
      </c>
      <c r="CB220" s="10">
        <f t="shared" si="276"/>
        <v>-583.6663631470035</v>
      </c>
      <c r="CD220" s="10">
        <f>CD$5+SUM(CE$5:CE219)+SUM(R$5:R219)-SUM(S$5:S219)-SUM(CF$5:CF219)</f>
        <v>269782.03456505964</v>
      </c>
      <c r="CE220" s="10">
        <f t="shared" si="269"/>
        <v>568.671443685543</v>
      </c>
      <c r="CF220" s="10">
        <f t="shared" si="270"/>
        <v>2263.729693646526</v>
      </c>
      <c r="CG220" s="10">
        <f t="shared" si="271"/>
        <v>1695.058249960983</v>
      </c>
      <c r="CI220" s="44">
        <v>0.3889</v>
      </c>
      <c r="CJ220" s="10">
        <f t="shared" si="272"/>
        <v>-880.36</v>
      </c>
      <c r="CK220" s="4">
        <f t="shared" si="277"/>
        <v>0</v>
      </c>
      <c r="CM220" s="10">
        <f t="shared" si="278"/>
        <v>-316792.7500830419</v>
      </c>
      <c r="CN220" s="4">
        <f t="shared" si="279"/>
        <v>-448.78972928430943</v>
      </c>
    </row>
    <row r="221" spans="1:92" ht="15.75">
      <c r="A221" s="36">
        <v>2020</v>
      </c>
      <c r="B221" s="37">
        <v>43831</v>
      </c>
      <c r="C221" s="77">
        <f t="shared" si="260"/>
        <v>3.9451</v>
      </c>
      <c r="D221" s="79">
        <f>C221*(1+Podsumowanie!E$11)</f>
        <v>4.063453</v>
      </c>
      <c r="E221" s="34">
        <f aca="true" t="shared" si="349" ref="E221:E228">Z221</f>
        <v>-562.2830657441853</v>
      </c>
      <c r="F221" s="7">
        <f aca="true" t="shared" si="350" ref="F221:F228">E221*D221</f>
        <v>-2284.810810347407</v>
      </c>
      <c r="G221" s="7">
        <f aca="true" t="shared" si="351" ref="G221:G228">U221</f>
        <v>-1240.1636578424548</v>
      </c>
      <c r="H221" s="7">
        <f aca="true" t="shared" si="352" ref="H221:H228">G221-F221</f>
        <v>1044.6471525049521</v>
      </c>
      <c r="I221" s="32"/>
      <c r="K221" s="4">
        <f>IF(B221&lt;Podsumowanie!E$7,0,K220+1)</f>
        <v>151</v>
      </c>
      <c r="L221" s="100">
        <f t="shared" si="261"/>
        <v>-0.0076</v>
      </c>
      <c r="M221" s="38">
        <f>L221+Podsumowanie!E$6</f>
        <v>0.0044</v>
      </c>
      <c r="N221" s="101">
        <f>MAX(Podsumowanie!E$4+SUM(AA$5:AA220)-SUM(X$5:X221)+SUM(W$5:W221),0)</f>
        <v>114148.2453064797</v>
      </c>
      <c r="O221" s="102">
        <f>MAX(Podsumowanie!E$2+SUM(V$5:V220)-SUM(S$5:S221)+SUM(R$5:R221),0)</f>
        <v>251763.77177253735</v>
      </c>
      <c r="P221" s="39">
        <f t="shared" si="192"/>
        <v>360</v>
      </c>
      <c r="Q221" s="40" t="str">
        <f>IF(AND(K221&gt;0,K221&lt;=Podsumowanie!E$9),"tak","nie")</f>
        <v>nie</v>
      </c>
      <c r="R221" s="41"/>
      <c r="S221" s="42"/>
      <c r="T221" s="88">
        <f aca="true" t="shared" si="353" ref="T221:T228">IF(AB221=1,-O221*M221/12,0)</f>
        <v>-92.3133829832637</v>
      </c>
      <c r="U221" s="89">
        <f>IF(Q221="tak",T221,IF(P221-SUM(AB$5:AB221)+1&gt;0,IF(Podsumowanie!E$7&lt;B221,IF(SUM(AB$5:AB221)-Podsumowanie!E$9+1&gt;0,PMT(M221/12,P221+1-SUM(AB$5:AB221),O221),T221),0),0))</f>
        <v>-1240.1636578424548</v>
      </c>
      <c r="V221" s="89">
        <f aca="true" t="shared" si="354" ref="V221:V228">U221-T221</f>
        <v>-1147.8502748591911</v>
      </c>
      <c r="W221" s="90" t="str">
        <f>IF(R221&gt;0,R221/(C221*(1-Podsumowanie!E$11))," ")</f>
        <v xml:space="preserve"> </v>
      </c>
      <c r="X221" s="90">
        <f t="shared" si="266"/>
        <v>0</v>
      </c>
      <c r="Y221" s="91">
        <f aca="true" t="shared" si="355" ref="Y221:Y228">IF(AB221=1,-N221*M221/12,0)</f>
        <v>-41.854356612375895</v>
      </c>
      <c r="Z221" s="90">
        <f>IF(P221-SUM(AB$5:AB221)+1&gt;0,IF(Podsumowanie!E$7&lt;B221,IF(SUM(AB$5:AB221)-Podsumowanie!E$9+1&gt;0,PMT(M221/12,P221+1-SUM(AB$5:AB221),N221),Y221),0),0)</f>
        <v>-562.2830657441853</v>
      </c>
      <c r="AA221" s="90">
        <f aca="true" t="shared" si="356" ref="AA221:AA228">Z221-Y221</f>
        <v>-520.4287091318093</v>
      </c>
      <c r="AB221" s="8">
        <f>IF(AND(Podsumowanie!E$7&lt;B221,SUM(AB$5:AB220)&lt;P220),1," ")</f>
        <v>1</v>
      </c>
      <c r="AD221" s="51">
        <f>IF(OR(B221&lt;Podsumowanie!E$12,Podsumowanie!E$12=""),-F221+S221,0)</f>
        <v>0</v>
      </c>
      <c r="AE221" s="51">
        <f t="shared" si="267"/>
        <v>562.2830657441853</v>
      </c>
      <c r="AG221" s="10">
        <f>Podsumowanie!E$4-SUM(AI$5:AI220)+SUM(W$42:W221)-SUM(X$42:X221)</f>
        <v>106086.74813555235</v>
      </c>
      <c r="AH221" s="10">
        <f aca="true" t="shared" si="357" ref="AH221:AH228">IF(AB221=1,ROUND(AG221*M221/12,2),0)</f>
        <v>38.9</v>
      </c>
      <c r="AI221" s="10">
        <f aca="true" t="shared" si="358" ref="AI221:AI228">IF(Q221="tak",0,IF(AB221=1,ROUND(AG221/(P221-K221+1),2),0))</f>
        <v>505.17</v>
      </c>
      <c r="AJ221" s="10">
        <f aca="true" t="shared" si="359" ref="AJ221:AJ228">AI221+AH221</f>
        <v>544.07</v>
      </c>
      <c r="AK221" s="10">
        <f aca="true" t="shared" si="360" ref="AK221:AK228">ROUND(AJ221*D221,2)</f>
        <v>2210.8</v>
      </c>
      <c r="AL221" s="10">
        <f>Podsumowanie!E$2-SUM(AN$5:AN220)+SUM(R$42:R221)-SUM(S$42:S221)</f>
        <v>233983.04999999978</v>
      </c>
      <c r="AM221" s="10">
        <f aca="true" t="shared" si="361" ref="AM221:AM228">IF(AB221=1,ROUND(AL221*M221/12,2),0)</f>
        <v>85.79</v>
      </c>
      <c r="AN221" s="10">
        <f aca="true" t="shared" si="362" ref="AN221:AN228">IF(Q221="tak",0,IF(AB221=1,ROUND(AL221/(P221-K221+1),2),0))</f>
        <v>1114.21</v>
      </c>
      <c r="AO221" s="10">
        <f aca="true" t="shared" si="363" ref="AO221:AO228">AN221+AM221</f>
        <v>1200</v>
      </c>
      <c r="AP221" s="10">
        <f aca="true" t="shared" si="364" ref="AP221:AP228">AK221-AO221</f>
        <v>1010.8000000000002</v>
      </c>
      <c r="AR221" s="43">
        <f aca="true" t="shared" si="365" ref="AR221:AR228">B221</f>
        <v>43831</v>
      </c>
      <c r="AS221" s="11">
        <f>AS$5+SUM(AV$5:AV220)-SUM(X$5:X221)+SUM(W$5:W221)</f>
        <v>110723.79794728533</v>
      </c>
      <c r="AT221" s="10">
        <f aca="true" t="shared" si="366" ref="AT221:AT228">IF(AB221=1,-AS221*M221/12,0)</f>
        <v>-40.598725914004625</v>
      </c>
      <c r="AU221" s="10">
        <f>IF(AB221=1,IF(Q221="tak",AT221,PMT(M221/12,P221+1-SUM(AB$5:AB221),AS221)),0)</f>
        <v>-545.4145737718599</v>
      </c>
      <c r="AV221" s="10">
        <f aca="true" t="shared" si="367" ref="AV221:AV228">AU221-AT221</f>
        <v>-504.81584785785526</v>
      </c>
      <c r="AW221" s="10">
        <f t="shared" si="187"/>
        <v>-2151.7150349873646</v>
      </c>
      <c r="AY221" s="11">
        <f>AY$5+SUM(BA$5:BA220)+SUM(W$5:W220)-SUM(X$5:X220)</f>
        <v>102903.98719148575</v>
      </c>
      <c r="AZ221" s="11">
        <f aca="true" t="shared" si="368" ref="AZ221:AZ228">IF(AB221=1,-AS221*M221/12,0)</f>
        <v>-40.598725914004625</v>
      </c>
      <c r="BA221" s="11">
        <f aca="true" t="shared" si="369" ref="BA221:BA228">IF(AB221=1,IF(Q221="tak",0,ROUND(-AY221/(P221-K221+1),2)),0)</f>
        <v>-490.02</v>
      </c>
      <c r="BB221" s="11">
        <f aca="true" t="shared" si="370" ref="BB221:BB228">BA221+AZ221</f>
        <v>-530.6187259140046</v>
      </c>
      <c r="BC221" s="11">
        <f aca="true" t="shared" si="371" ref="BC221:BC228">BB221*C221</f>
        <v>-2093.3439356033396</v>
      </c>
      <c r="BE221" s="172">
        <f t="shared" si="262"/>
        <v>0.0171</v>
      </c>
      <c r="BF221" s="44">
        <f>BE221+Podsumowanie!$E$6</f>
        <v>0.0291</v>
      </c>
      <c r="BG221" s="11">
        <f>BG$5+SUM(BH$5:BH220)+SUM(R$5:R220)-SUM(S$5:S220)</f>
        <v>291860.92995564593</v>
      </c>
      <c r="BH221" s="10">
        <f aca="true" t="shared" si="372" ref="BH221:BH228">IF(BJ221&lt;0,BJ221-BI221,0)</f>
        <v>-1061.0340436800152</v>
      </c>
      <c r="BI221" s="10">
        <f aca="true" t="shared" si="373" ref="BI221:BI228">IF(BJ221&lt;0,-BG221*BF221/12,0)</f>
        <v>-707.7627551424415</v>
      </c>
      <c r="BJ221" s="10">
        <f>IF(U221&lt;0,PMT(BF221/12,Podsumowanie!E$8-SUM(AB$5:AB221)+1,BG221),0)</f>
        <v>-1768.7967988224568</v>
      </c>
      <c r="BL221" s="11">
        <f>BL$5+SUM(BN$5:BN220)+SUM(R$5:R220)-SUM(S$5:S220)</f>
        <v>233983.2869080781</v>
      </c>
      <c r="BM221" s="11">
        <f t="shared" si="216"/>
        <v>-567.4094707520894</v>
      </c>
      <c r="BN221" s="11">
        <f t="shared" si="217"/>
        <v>-1114.2061281337053</v>
      </c>
      <c r="BO221" s="11">
        <f t="shared" si="191"/>
        <v>-1681.6155988857947</v>
      </c>
      <c r="BQ221" s="44">
        <f t="shared" si="263"/>
        <v>0.0292</v>
      </c>
      <c r="BR221" s="11">
        <f>BR$5+SUM(BS$5:BS220)+SUM(R$5:R220)-SUM(S$5:S220)+SUM(BV$5:BV220)</f>
        <v>297950.9600536058</v>
      </c>
      <c r="BS221" s="10">
        <f t="shared" si="273"/>
        <v>-1082.1481026628308</v>
      </c>
      <c r="BT221" s="10">
        <f t="shared" si="274"/>
        <v>-725.0140027971074</v>
      </c>
      <c r="BU221" s="10">
        <f>IF(U221&lt;0,PMT(BQ221/12,Podsumowanie!E$8-SUM(AB$5:AB221)+1,BR221),0)</f>
        <v>-1807.1621054599382</v>
      </c>
      <c r="BV221" s="10">
        <f t="shared" si="268"/>
        <v>-477.64870488746874</v>
      </c>
      <c r="BX221" s="11">
        <f>BX$5+SUM(BZ$5:BZ220)+SUM(R$5:R220)-SUM(S$5:S220)+SUM(CB$5,CB220)</f>
        <v>233383.6493402494</v>
      </c>
      <c r="BY221" s="10">
        <f t="shared" si="264"/>
        <v>-567.9002133946068</v>
      </c>
      <c r="BZ221" s="10">
        <f t="shared" si="265"/>
        <v>-1111.3507111440447</v>
      </c>
      <c r="CA221" s="10">
        <f t="shared" si="275"/>
        <v>-1679.2509245386514</v>
      </c>
      <c r="CB221" s="10">
        <f t="shared" si="276"/>
        <v>-605.5598858087556</v>
      </c>
      <c r="CD221" s="10">
        <f>CD$5+SUM(CE$5:CE220)+SUM(R$5:R220)-SUM(S$5:S220)-SUM(CF$5:CF220)</f>
        <v>268086.97631509876</v>
      </c>
      <c r="CE221" s="10">
        <f t="shared" si="269"/>
        <v>567.9002133946068</v>
      </c>
      <c r="CF221" s="10">
        <f t="shared" si="270"/>
        <v>2284.810810347407</v>
      </c>
      <c r="CG221" s="10">
        <f t="shared" si="271"/>
        <v>1716.9105969528</v>
      </c>
      <c r="CI221" s="44">
        <v>0.3778</v>
      </c>
      <c r="CJ221" s="10">
        <f t="shared" si="272"/>
        <v>-863.2</v>
      </c>
      <c r="CK221" s="4">
        <f t="shared" si="277"/>
        <v>0</v>
      </c>
      <c r="CM221" s="10">
        <f t="shared" si="278"/>
        <v>-319077.5608933893</v>
      </c>
      <c r="CN221" s="4">
        <f t="shared" si="279"/>
        <v>-454.6855242730797</v>
      </c>
    </row>
    <row r="222" spans="1:92" ht="15.75">
      <c r="A222" s="36"/>
      <c r="B222" s="37">
        <v>43862</v>
      </c>
      <c r="C222" s="77">
        <f t="shared" si="260"/>
        <v>4.0166</v>
      </c>
      <c r="D222" s="79">
        <f>C222*(1+Podsumowanie!E$11)</f>
        <v>4.137098000000001</v>
      </c>
      <c r="E222" s="34">
        <f t="shared" si="349"/>
        <v>-562.2830657441853</v>
      </c>
      <c r="F222" s="7">
        <f t="shared" si="350"/>
        <v>-2326.220146724138</v>
      </c>
      <c r="G222" s="7">
        <f t="shared" si="351"/>
        <v>-1240.1636578424545</v>
      </c>
      <c r="H222" s="7">
        <f t="shared" si="352"/>
        <v>1086.0564888816834</v>
      </c>
      <c r="I222" s="32"/>
      <c r="K222" s="4">
        <f>IF(B222&lt;Podsumowanie!E$7,0,K221+1)</f>
        <v>152</v>
      </c>
      <c r="L222" s="100">
        <f t="shared" si="261"/>
        <v>-0.0076</v>
      </c>
      <c r="M222" s="38">
        <f>L222+Podsumowanie!E$6</f>
        <v>0.0044</v>
      </c>
      <c r="N222" s="101">
        <f>MAX(Podsumowanie!E$4+SUM(AA$5:AA221)-SUM(X$5:X222)+SUM(W$5:W222),0)</f>
        <v>113627.81659734789</v>
      </c>
      <c r="O222" s="102">
        <f>MAX(Podsumowanie!E$2+SUM(V$5:V221)-SUM(S$5:S222)+SUM(R$5:R222),0)</f>
        <v>250615.92149767815</v>
      </c>
      <c r="P222" s="39">
        <f t="shared" si="192"/>
        <v>360</v>
      </c>
      <c r="Q222" s="40" t="str">
        <f>IF(AND(K222&gt;0,K222&lt;=Podsumowanie!E$9),"tak","nie")</f>
        <v>nie</v>
      </c>
      <c r="R222" s="41"/>
      <c r="S222" s="42"/>
      <c r="T222" s="88">
        <f t="shared" si="353"/>
        <v>-91.89250454914867</v>
      </c>
      <c r="U222" s="89">
        <f>IF(Q222="tak",T222,IF(P222-SUM(AB$5:AB222)+1&gt;0,IF(Podsumowanie!E$7&lt;B222,IF(SUM(AB$5:AB222)-Podsumowanie!E$9+1&gt;0,PMT(M222/12,P222+1-SUM(AB$5:AB222),O222),T222),0),0))</f>
        <v>-1240.1636578424545</v>
      </c>
      <c r="V222" s="89">
        <f t="shared" si="354"/>
        <v>-1148.2711532933058</v>
      </c>
      <c r="W222" s="90" t="str">
        <f>IF(R222&gt;0,R222/(C222*(1-Podsumowanie!E$11))," ")</f>
        <v xml:space="preserve"> </v>
      </c>
      <c r="X222" s="90">
        <f t="shared" si="266"/>
        <v>0</v>
      </c>
      <c r="Y222" s="91">
        <f t="shared" si="355"/>
        <v>-41.663532752360894</v>
      </c>
      <c r="Z222" s="90">
        <f>IF(P222-SUM(AB$5:AB222)+1&gt;0,IF(Podsumowanie!E$7&lt;B222,IF(SUM(AB$5:AB222)-Podsumowanie!E$9+1&gt;0,PMT(M222/12,P222+1-SUM(AB$5:AB222),N222),Y222),0),0)</f>
        <v>-562.2830657441853</v>
      </c>
      <c r="AA222" s="90">
        <f t="shared" si="356"/>
        <v>-520.6195329918244</v>
      </c>
      <c r="AB222" s="8">
        <f>IF(AND(Podsumowanie!E$7&lt;B222,SUM(AB$5:AB221)&lt;P221),1," ")</f>
        <v>1</v>
      </c>
      <c r="AD222" s="51">
        <f>IF(OR(B222&lt;Podsumowanie!E$12,Podsumowanie!E$12=""),-F222+S222,0)</f>
        <v>0</v>
      </c>
      <c r="AE222" s="51">
        <f t="shared" si="267"/>
        <v>562.2830657441853</v>
      </c>
      <c r="AG222" s="10">
        <f>Podsumowanie!E$4-SUM(AI$5:AI221)+SUM(W$42:W222)-SUM(X$42:X222)</f>
        <v>105581.57813555235</v>
      </c>
      <c r="AH222" s="10">
        <f t="shared" si="357"/>
        <v>38.71</v>
      </c>
      <c r="AI222" s="10">
        <f t="shared" si="358"/>
        <v>505.18</v>
      </c>
      <c r="AJ222" s="10">
        <f t="shared" si="359"/>
        <v>543.89</v>
      </c>
      <c r="AK222" s="10">
        <f t="shared" si="360"/>
        <v>2250.13</v>
      </c>
      <c r="AL222" s="10">
        <f>Podsumowanie!E$2-SUM(AN$5:AN221)+SUM(R$42:R222)-SUM(S$42:S222)</f>
        <v>232868.8399999998</v>
      </c>
      <c r="AM222" s="10">
        <f t="shared" si="361"/>
        <v>85.39</v>
      </c>
      <c r="AN222" s="10">
        <f t="shared" si="362"/>
        <v>1114.2</v>
      </c>
      <c r="AO222" s="10">
        <f t="shared" si="363"/>
        <v>1199.5900000000001</v>
      </c>
      <c r="AP222" s="10">
        <f t="shared" si="364"/>
        <v>1050.54</v>
      </c>
      <c r="AR222" s="43">
        <f t="shared" si="365"/>
        <v>43862</v>
      </c>
      <c r="AS222" s="11">
        <f>AS$5+SUM(AV$5:AV221)-SUM(X$5:X222)+SUM(W$5:W222)</f>
        <v>110218.98209942748</v>
      </c>
      <c r="AT222" s="10">
        <f t="shared" si="366"/>
        <v>-40.41362676979008</v>
      </c>
      <c r="AU222" s="10">
        <f>IF(AB222=1,IF(Q222="tak",AT222,PMT(M222/12,P222+1-SUM(AB$5:AB222),AS222)),0)</f>
        <v>-545.4145737718599</v>
      </c>
      <c r="AV222" s="10">
        <f t="shared" si="367"/>
        <v>-505.0009470020698</v>
      </c>
      <c r="AW222" s="10">
        <f t="shared" si="187"/>
        <v>-2190.7121770120525</v>
      </c>
      <c r="AY222" s="11">
        <f>AY$5+SUM(BA$5:BA221)+SUM(W$5:W221)-SUM(X$5:X221)</f>
        <v>102413.96719148575</v>
      </c>
      <c r="AZ222" s="11">
        <f t="shared" si="368"/>
        <v>-40.41362676979008</v>
      </c>
      <c r="BA222" s="11">
        <f t="shared" si="369"/>
        <v>-490.02</v>
      </c>
      <c r="BB222" s="11">
        <f t="shared" si="370"/>
        <v>-530.4336267697901</v>
      </c>
      <c r="BC222" s="11">
        <f t="shared" si="371"/>
        <v>-2130.539705283539</v>
      </c>
      <c r="BE222" s="172">
        <f t="shared" si="262"/>
        <v>0.0171</v>
      </c>
      <c r="BF222" s="44">
        <f>BE222+Podsumowanie!$E$6</f>
        <v>0.0291</v>
      </c>
      <c r="BG222" s="11">
        <f>BG$5+SUM(BH$5:BH221)+SUM(R$5:R221)-SUM(S$5:S221)</f>
        <v>290799.89591196587</v>
      </c>
      <c r="BH222" s="10">
        <f t="shared" si="372"/>
        <v>-1063.6070512359393</v>
      </c>
      <c r="BI222" s="10">
        <f t="shared" si="373"/>
        <v>-705.1897475865172</v>
      </c>
      <c r="BJ222" s="10">
        <f>IF(U222&lt;0,PMT(BF222/12,Podsumowanie!E$8-SUM(AB$5:AB222)+1,BG222),0)</f>
        <v>-1768.7967988224566</v>
      </c>
      <c r="BL222" s="11">
        <f>BL$5+SUM(BN$5:BN221)+SUM(R$5:R221)-SUM(S$5:S221)</f>
        <v>232869.0807799444</v>
      </c>
      <c r="BM222" s="11">
        <f t="shared" si="216"/>
        <v>-564.7075208913652</v>
      </c>
      <c r="BN222" s="11">
        <f t="shared" si="217"/>
        <v>-1114.2061281337053</v>
      </c>
      <c r="BO222" s="11">
        <f t="shared" si="191"/>
        <v>-1678.9136490250705</v>
      </c>
      <c r="BQ222" s="44">
        <f t="shared" si="263"/>
        <v>0.0292</v>
      </c>
      <c r="BR222" s="11">
        <f>BR$5+SUM(BS$5:BS221)+SUM(R$5:R221)-SUM(S$5:S221)+SUM(BV$5:BV221)</f>
        <v>296391.1632460555</v>
      </c>
      <c r="BS222" s="10">
        <f t="shared" si="273"/>
        <v>-1083.035964836427</v>
      </c>
      <c r="BT222" s="10">
        <f t="shared" si="274"/>
        <v>-721.2184972320683</v>
      </c>
      <c r="BU222" s="10">
        <f>IF(U222&lt;0,PMT(BQ222/12,Podsumowanie!E$8-SUM(AB$5:AB222)+1,BR222),0)</f>
        <v>-1804.2544620684953</v>
      </c>
      <c r="BV222" s="10">
        <f t="shared" si="268"/>
        <v>-521.9656846556427</v>
      </c>
      <c r="BX222" s="11">
        <f>BX$5+SUM(BZ$5:BZ221)+SUM(R$5:R221)-SUM(S$5:S221)+SUM(CB$5,CB221)</f>
        <v>232250.4051064436</v>
      </c>
      <c r="BY222" s="10">
        <f t="shared" si="264"/>
        <v>-565.1426524256794</v>
      </c>
      <c r="BZ222" s="10">
        <f t="shared" si="265"/>
        <v>-1111.2459574470986</v>
      </c>
      <c r="CA222" s="10">
        <f t="shared" si="275"/>
        <v>-1676.388609872778</v>
      </c>
      <c r="CB222" s="10">
        <f t="shared" si="276"/>
        <v>-649.8315368513599</v>
      </c>
      <c r="CD222" s="10">
        <f>CD$5+SUM(CE$5:CE221)+SUM(R$5:R221)-SUM(S$5:S221)-SUM(CF$5:CF221)</f>
        <v>266370.0657181459</v>
      </c>
      <c r="CE222" s="10">
        <f t="shared" si="269"/>
        <v>565.1426524256794</v>
      </c>
      <c r="CF222" s="10">
        <f t="shared" si="270"/>
        <v>2326.220146724138</v>
      </c>
      <c r="CG222" s="10">
        <f t="shared" si="271"/>
        <v>1761.0774942984585</v>
      </c>
      <c r="CI222" s="44">
        <v>0.3655</v>
      </c>
      <c r="CJ222" s="10">
        <f t="shared" si="272"/>
        <v>-850.23</v>
      </c>
      <c r="CK222" s="4">
        <f t="shared" si="277"/>
        <v>0</v>
      </c>
      <c r="CM222" s="10">
        <f t="shared" si="278"/>
        <v>-321403.7810401134</v>
      </c>
      <c r="CN222" s="4">
        <f t="shared" si="279"/>
        <v>-458.0003879821616</v>
      </c>
    </row>
    <row r="223" spans="1:92" ht="15.75">
      <c r="A223" s="36"/>
      <c r="B223" s="37">
        <v>43891</v>
      </c>
      <c r="C223" s="77">
        <f t="shared" si="260"/>
        <v>4.1892</v>
      </c>
      <c r="D223" s="79">
        <f>C223*(1+Podsumowanie!E$11)</f>
        <v>4.314876</v>
      </c>
      <c r="E223" s="34">
        <f t="shared" si="349"/>
        <v>-562.2830657441853</v>
      </c>
      <c r="F223" s="7">
        <f t="shared" si="350"/>
        <v>-2426.181705586007</v>
      </c>
      <c r="G223" s="7">
        <f t="shared" si="351"/>
        <v>-1240.1636578424548</v>
      </c>
      <c r="H223" s="7">
        <f t="shared" si="352"/>
        <v>1186.0180477435522</v>
      </c>
      <c r="I223" s="32"/>
      <c r="K223" s="4">
        <f>IF(B223&lt;Podsumowanie!E$7,0,K222+1)</f>
        <v>153</v>
      </c>
      <c r="L223" s="100">
        <f t="shared" si="261"/>
        <v>-0.0076</v>
      </c>
      <c r="M223" s="38">
        <f>L223+Podsumowanie!E$6</f>
        <v>0.0044</v>
      </c>
      <c r="N223" s="101">
        <f>MAX(Podsumowanie!E$4+SUM(AA$5:AA222)-SUM(X$5:X223)+SUM(W$5:W223),0)</f>
        <v>113107.19706435606</v>
      </c>
      <c r="O223" s="102">
        <f>MAX(Podsumowanie!E$2+SUM(V$5:V222)-SUM(S$5:S223)+SUM(R$5:R223),0)</f>
        <v>249467.65034438483</v>
      </c>
      <c r="P223" s="39">
        <f t="shared" si="192"/>
        <v>360</v>
      </c>
      <c r="Q223" s="40" t="str">
        <f>IF(AND(K223&gt;0,K223&lt;=Podsumowanie!E$9),"tak","nie")</f>
        <v>nie</v>
      </c>
      <c r="R223" s="41"/>
      <c r="S223" s="42"/>
      <c r="T223" s="88">
        <f t="shared" si="353"/>
        <v>-91.4714717929411</v>
      </c>
      <c r="U223" s="89">
        <f>IF(Q223="tak",T223,IF(P223-SUM(AB$5:AB223)+1&gt;0,IF(Podsumowanie!E$7&lt;B223,IF(SUM(AB$5:AB223)-Podsumowanie!E$9+1&gt;0,PMT(M223/12,P223+1-SUM(AB$5:AB223),O223),T223),0),0))</f>
        <v>-1240.1636578424548</v>
      </c>
      <c r="V223" s="89">
        <f t="shared" si="354"/>
        <v>-1148.6921860495136</v>
      </c>
      <c r="W223" s="90" t="str">
        <f>IF(R223&gt;0,R223/(C223*(1-Podsumowanie!E$11))," ")</f>
        <v xml:space="preserve"> </v>
      </c>
      <c r="X223" s="90">
        <f t="shared" si="266"/>
        <v>0</v>
      </c>
      <c r="Y223" s="91">
        <f t="shared" si="355"/>
        <v>-41.47263892359722</v>
      </c>
      <c r="Z223" s="90">
        <f>IF(P223-SUM(AB$5:AB223)+1&gt;0,IF(Podsumowanie!E$7&lt;B223,IF(SUM(AB$5:AB223)-Podsumowanie!E$9+1&gt;0,PMT(M223/12,P223+1-SUM(AB$5:AB223),N223),Y223),0),0)</f>
        <v>-562.2830657441853</v>
      </c>
      <c r="AA223" s="90">
        <f t="shared" si="356"/>
        <v>-520.8104268205881</v>
      </c>
      <c r="AB223" s="8">
        <f>IF(AND(Podsumowanie!E$7&lt;B223,SUM(AB$5:AB222)&lt;P222),1," ")</f>
        <v>1</v>
      </c>
      <c r="AD223" s="51">
        <f>IF(OR(B223&lt;Podsumowanie!E$12,Podsumowanie!E$12=""),-F223+S223,0)</f>
        <v>0</v>
      </c>
      <c r="AE223" s="51">
        <f t="shared" si="267"/>
        <v>562.2830657441853</v>
      </c>
      <c r="AG223" s="10">
        <f>Podsumowanie!E$4-SUM(AI$5:AI222)+SUM(W$42:W223)-SUM(X$42:X223)</f>
        <v>105076.39813555236</v>
      </c>
      <c r="AH223" s="10">
        <f t="shared" si="357"/>
        <v>38.53</v>
      </c>
      <c r="AI223" s="10">
        <f t="shared" si="358"/>
        <v>505.17</v>
      </c>
      <c r="AJ223" s="10">
        <f t="shared" si="359"/>
        <v>543.7</v>
      </c>
      <c r="AK223" s="10">
        <f t="shared" si="360"/>
        <v>2346</v>
      </c>
      <c r="AL223" s="10">
        <f>Podsumowanie!E$2-SUM(AN$5:AN222)+SUM(R$42:R223)-SUM(S$42:S223)</f>
        <v>231754.63999999978</v>
      </c>
      <c r="AM223" s="10">
        <f t="shared" si="361"/>
        <v>84.98</v>
      </c>
      <c r="AN223" s="10">
        <f t="shared" si="362"/>
        <v>1114.21</v>
      </c>
      <c r="AO223" s="10">
        <f t="shared" si="363"/>
        <v>1199.19</v>
      </c>
      <c r="AP223" s="10">
        <f t="shared" si="364"/>
        <v>1146.81</v>
      </c>
      <c r="AR223" s="43">
        <f t="shared" si="365"/>
        <v>43891</v>
      </c>
      <c r="AS223" s="11">
        <f>AS$5+SUM(AV$5:AV222)-SUM(X$5:X223)+SUM(W$5:W223)</f>
        <v>109713.9811524254</v>
      </c>
      <c r="AT223" s="10">
        <f t="shared" si="366"/>
        <v>-40.22845975588932</v>
      </c>
      <c r="AU223" s="10">
        <f>IF(AB223=1,IF(Q223="tak",AT223,PMT(M223/12,P223+1-SUM(AB$5:AB223),AS223)),0)</f>
        <v>-545.4145737718599</v>
      </c>
      <c r="AV223" s="10">
        <f t="shared" si="367"/>
        <v>-505.18611401597053</v>
      </c>
      <c r="AW223" s="10">
        <f t="shared" si="187"/>
        <v>-2284.850732445075</v>
      </c>
      <c r="AY223" s="11">
        <f>AY$5+SUM(BA$5:BA222)+SUM(W$5:W222)-SUM(X$5:X222)</f>
        <v>101923.94719148574</v>
      </c>
      <c r="AZ223" s="11">
        <f t="shared" si="368"/>
        <v>-40.22845975588932</v>
      </c>
      <c r="BA223" s="11">
        <f t="shared" si="369"/>
        <v>-490.02</v>
      </c>
      <c r="BB223" s="11">
        <f t="shared" si="370"/>
        <v>-530.2484597558893</v>
      </c>
      <c r="BC223" s="11">
        <f t="shared" si="371"/>
        <v>-2221.316847609371</v>
      </c>
      <c r="BE223" s="172">
        <f t="shared" si="262"/>
        <v>0.0145</v>
      </c>
      <c r="BF223" s="44">
        <f>BE223+Podsumowanie!$E$6</f>
        <v>0.026500000000000003</v>
      </c>
      <c r="BG223" s="11">
        <f>BG$5+SUM(BH$5:BH222)+SUM(R$5:R222)-SUM(S$5:S222)</f>
        <v>289736.28886072995</v>
      </c>
      <c r="BH223" s="10">
        <f t="shared" si="372"/>
        <v>-1092.4064277194648</v>
      </c>
      <c r="BI223" s="10">
        <f t="shared" si="373"/>
        <v>-639.8343045674454</v>
      </c>
      <c r="BJ223" s="10">
        <f>IF(U223&lt;0,PMT(BF223/12,Podsumowanie!E$8-SUM(AB$5:AB223)+1,BG223),0)</f>
        <v>-1732.24073228691</v>
      </c>
      <c r="BL223" s="11">
        <f>BL$5+SUM(BN$5:BN222)+SUM(R$5:R222)-SUM(S$5:S222)</f>
        <v>231754.8746518107</v>
      </c>
      <c r="BM223" s="11">
        <f t="shared" si="216"/>
        <v>-511.792014856082</v>
      </c>
      <c r="BN223" s="11">
        <f t="shared" si="217"/>
        <v>-1114.2061281337053</v>
      </c>
      <c r="BO223" s="11">
        <f t="shared" si="191"/>
        <v>-1625.9981429897873</v>
      </c>
      <c r="BQ223" s="44">
        <f t="shared" si="263"/>
        <v>0.0266</v>
      </c>
      <c r="BR223" s="11">
        <f>BR$5+SUM(BS$5:BS222)+SUM(R$5:R222)-SUM(S$5:S222)+SUM(BV$5:BV222)</f>
        <v>294786.1615965634</v>
      </c>
      <c r="BS223" s="10">
        <f t="shared" si="273"/>
        <v>-1110.4114746919126</v>
      </c>
      <c r="BT223" s="10">
        <f t="shared" si="274"/>
        <v>-653.4426582057155</v>
      </c>
      <c r="BU223" s="10">
        <f>IF(U223&lt;0,PMT(BQ223/12,Podsumowanie!E$8-SUM(AB$5:AB223)+1,BR223),0)</f>
        <v>-1763.854132897628</v>
      </c>
      <c r="BV223" s="10">
        <f t="shared" si="268"/>
        <v>-662.327572688379</v>
      </c>
      <c r="BX223" s="11">
        <f>BX$5+SUM(BZ$5:BZ222)+SUM(R$5:R222)-SUM(S$5:S222)+SUM(CB$5,CB222)</f>
        <v>231094.8874979539</v>
      </c>
      <c r="BY223" s="10">
        <f t="shared" si="264"/>
        <v>-512.2603339537978</v>
      </c>
      <c r="BZ223" s="10">
        <f t="shared" si="265"/>
        <v>-1111.0331129709323</v>
      </c>
      <c r="CA223" s="10">
        <f t="shared" si="275"/>
        <v>-1623.2934469247302</v>
      </c>
      <c r="CB223" s="10">
        <f t="shared" si="276"/>
        <v>-802.8882586612767</v>
      </c>
      <c r="CD223" s="10">
        <f>CD$5+SUM(CE$5:CE222)+SUM(R$5:R222)-SUM(S$5:S222)-SUM(CF$5:CF222)</f>
        <v>264608.98822384747</v>
      </c>
      <c r="CE223" s="10">
        <f t="shared" si="269"/>
        <v>512.2603339537978</v>
      </c>
      <c r="CF223" s="10">
        <f t="shared" si="270"/>
        <v>2426.181705586007</v>
      </c>
      <c r="CG223" s="10">
        <f t="shared" si="271"/>
        <v>1913.9213716322092</v>
      </c>
      <c r="CI223" s="44">
        <v>0.3561</v>
      </c>
      <c r="CJ223" s="10">
        <f t="shared" si="272"/>
        <v>-863.96</v>
      </c>
      <c r="CK223" s="4">
        <f t="shared" si="277"/>
        <v>0</v>
      </c>
      <c r="CM223" s="10">
        <f t="shared" si="278"/>
        <v>-323829.96274569945</v>
      </c>
      <c r="CN223" s="4">
        <f t="shared" si="279"/>
        <v>-391.2945383177202</v>
      </c>
    </row>
    <row r="224" spans="1:92" ht="15.75">
      <c r="A224" s="36"/>
      <c r="B224" s="37">
        <v>43922</v>
      </c>
      <c r="C224" s="77">
        <f t="shared" si="260"/>
        <v>4.3107</v>
      </c>
      <c r="D224" s="79">
        <f>C224*(1+Podsumowanie!E$11)</f>
        <v>4.440021</v>
      </c>
      <c r="E224" s="34">
        <f t="shared" si="349"/>
        <v>-567.1294526854326</v>
      </c>
      <c r="F224" s="7">
        <f t="shared" si="350"/>
        <v>-2518.0666796418272</v>
      </c>
      <c r="G224" s="7">
        <f t="shared" si="351"/>
        <v>-1250.8527810306525</v>
      </c>
      <c r="H224" s="7">
        <f t="shared" si="352"/>
        <v>1267.2138986111747</v>
      </c>
      <c r="I224" s="32"/>
      <c r="K224" s="4">
        <f>IF(B224&lt;Podsumowanie!E$7,0,K223+1)</f>
        <v>154</v>
      </c>
      <c r="L224" s="100">
        <f t="shared" si="261"/>
        <v>-0.0066</v>
      </c>
      <c r="M224" s="38">
        <f>L224+Podsumowanie!E$6</f>
        <v>0.0054</v>
      </c>
      <c r="N224" s="101">
        <f>MAX(Podsumowanie!E$4+SUM(AA$5:AA223)-SUM(X$5:X224)+SUM(W$5:W224),0)</f>
        <v>112586.38663753547</v>
      </c>
      <c r="O224" s="102">
        <f>MAX(Podsumowanie!E$2+SUM(V$5:V223)-SUM(S$5:S224)+SUM(R$5:R224),0)</f>
        <v>248318.95815833533</v>
      </c>
      <c r="P224" s="39">
        <f t="shared" si="192"/>
        <v>360</v>
      </c>
      <c r="Q224" s="40" t="str">
        <f>IF(AND(K224&gt;0,K224&lt;=Podsumowanie!E$9),"tak","nie")</f>
        <v>nie</v>
      </c>
      <c r="R224" s="41"/>
      <c r="S224" s="42"/>
      <c r="T224" s="88">
        <f t="shared" si="353"/>
        <v>-111.7435311712509</v>
      </c>
      <c r="U224" s="89">
        <f>IF(Q224="tak",T224,IF(P224-SUM(AB$5:AB224)+1&gt;0,IF(Podsumowanie!E$7&lt;B224,IF(SUM(AB$5:AB224)-Podsumowanie!E$9+1&gt;0,PMT(M224/12,P224+1-SUM(AB$5:AB224),O224),T224),0),0))</f>
        <v>-1250.8527810306525</v>
      </c>
      <c r="V224" s="89">
        <f t="shared" si="354"/>
        <v>-1139.1092498594016</v>
      </c>
      <c r="W224" s="90" t="str">
        <f>IF(R224&gt;0,R224/(C224*(1-Podsumowanie!E$11))," ")</f>
        <v xml:space="preserve"> </v>
      </c>
      <c r="X224" s="90">
        <f t="shared" si="266"/>
        <v>0</v>
      </c>
      <c r="Y224" s="91">
        <f t="shared" si="355"/>
        <v>-50.66387398689096</v>
      </c>
      <c r="Z224" s="90">
        <f>IF(P224-SUM(AB$5:AB224)+1&gt;0,IF(Podsumowanie!E$7&lt;B224,IF(SUM(AB$5:AB224)-Podsumowanie!E$9+1&gt;0,PMT(M224/12,P224+1-SUM(AB$5:AB224),N224),Y224),0),0)</f>
        <v>-567.1294526854326</v>
      </c>
      <c r="AA224" s="90">
        <f t="shared" si="356"/>
        <v>-516.4655786985417</v>
      </c>
      <c r="AB224" s="8">
        <f>IF(AND(Podsumowanie!E$7&lt;B224,SUM(AB$5:AB223)&lt;P223),1," ")</f>
        <v>1</v>
      </c>
      <c r="AD224" s="51">
        <f>IF(OR(B224&lt;Podsumowanie!E$12,Podsumowanie!E$12=""),-F224+S224,0)</f>
        <v>0</v>
      </c>
      <c r="AE224" s="51">
        <f t="shared" si="267"/>
        <v>567.1294526854326</v>
      </c>
      <c r="AG224" s="10">
        <f>Podsumowanie!E$4-SUM(AI$5:AI223)+SUM(W$42:W224)-SUM(X$42:X224)</f>
        <v>104571.22813555236</v>
      </c>
      <c r="AH224" s="10">
        <f t="shared" si="357"/>
        <v>47.06</v>
      </c>
      <c r="AI224" s="10">
        <f t="shared" si="358"/>
        <v>505.18</v>
      </c>
      <c r="AJ224" s="10">
        <f t="shared" si="359"/>
        <v>552.24</v>
      </c>
      <c r="AK224" s="10">
        <f t="shared" si="360"/>
        <v>2451.96</v>
      </c>
      <c r="AL224" s="10">
        <f>Podsumowanie!E$2-SUM(AN$5:AN223)+SUM(R$42:R224)-SUM(S$42:S224)</f>
        <v>230640.4299999998</v>
      </c>
      <c r="AM224" s="10">
        <f t="shared" si="361"/>
        <v>103.79</v>
      </c>
      <c r="AN224" s="10">
        <f t="shared" si="362"/>
        <v>1114.2</v>
      </c>
      <c r="AO224" s="10">
        <f t="shared" si="363"/>
        <v>1217.99</v>
      </c>
      <c r="AP224" s="10">
        <f t="shared" si="364"/>
        <v>1233.97</v>
      </c>
      <c r="AR224" s="43">
        <f t="shared" si="365"/>
        <v>43922</v>
      </c>
      <c r="AS224" s="11">
        <f>AS$5+SUM(AV$5:AV223)-SUM(X$5:X224)+SUM(W$5:W224)</f>
        <v>109208.79503840943</v>
      </c>
      <c r="AT224" s="10">
        <f t="shared" si="366"/>
        <v>-49.14395776728424</v>
      </c>
      <c r="AU224" s="10">
        <f>IF(AB224=1,IF(Q224="tak",AT224,PMT(M224/12,P224+1-SUM(AB$5:AB224),AS224)),0)</f>
        <v>-550.1155691048697</v>
      </c>
      <c r="AV224" s="10">
        <f t="shared" si="367"/>
        <v>-500.97161133758544</v>
      </c>
      <c r="AW224" s="10">
        <f t="shared" si="187"/>
        <v>-2371.383183740362</v>
      </c>
      <c r="AY224" s="11">
        <f>AY$5+SUM(BA$5:BA223)+SUM(W$5:W223)-SUM(X$5:X223)</f>
        <v>101433.92719148574</v>
      </c>
      <c r="AZ224" s="11">
        <f t="shared" si="368"/>
        <v>-49.14395776728424</v>
      </c>
      <c r="BA224" s="11">
        <f t="shared" si="369"/>
        <v>-490.02</v>
      </c>
      <c r="BB224" s="11">
        <f t="shared" si="370"/>
        <v>-539.1639577672843</v>
      </c>
      <c r="BC224" s="11">
        <f t="shared" si="371"/>
        <v>-2324.174072747432</v>
      </c>
      <c r="BE224" s="172">
        <f t="shared" si="262"/>
        <v>0.0083</v>
      </c>
      <c r="BF224" s="44">
        <f>BE224+Podsumowanie!$E$6</f>
        <v>0.0203</v>
      </c>
      <c r="BG224" s="11">
        <f>BG$5+SUM(BH$5:BH223)+SUM(R$5:R223)-SUM(S$5:S223)</f>
        <v>288643.8824330105</v>
      </c>
      <c r="BH224" s="10">
        <f t="shared" si="372"/>
        <v>-1159.0160428411327</v>
      </c>
      <c r="BI224" s="10">
        <f t="shared" si="373"/>
        <v>-488.2892344491761</v>
      </c>
      <c r="BJ224" s="10">
        <f>IF(U224&lt;0,PMT(BF224/12,Podsumowanie!E$8-SUM(AB$5:AB224)+1,BG224),0)</f>
        <v>-1647.3052772903088</v>
      </c>
      <c r="BL224" s="11">
        <f>BL$5+SUM(BN$5:BN223)+SUM(R$5:R223)-SUM(S$5:S223)</f>
        <v>230640.668523677</v>
      </c>
      <c r="BM224" s="11">
        <f t="shared" si="216"/>
        <v>-390.16713091922026</v>
      </c>
      <c r="BN224" s="11">
        <f t="shared" si="217"/>
        <v>-1114.2061281337053</v>
      </c>
      <c r="BO224" s="11">
        <f t="shared" si="191"/>
        <v>-1504.3732590529255</v>
      </c>
      <c r="BQ224" s="44">
        <f t="shared" si="263"/>
        <v>0.0204</v>
      </c>
      <c r="BR224" s="11">
        <f>BR$5+SUM(BS$5:BS223)+SUM(R$5:R223)-SUM(S$5:S223)+SUM(BV$5:BV223)</f>
        <v>293013.42254918313</v>
      </c>
      <c r="BS224" s="10">
        <f t="shared" si="273"/>
        <v>-1175.4891779319844</v>
      </c>
      <c r="BT224" s="10">
        <f t="shared" si="274"/>
        <v>-498.12281833361135</v>
      </c>
      <c r="BU224" s="10">
        <f>IF(U224&lt;0,PMT(BQ224/12,Podsumowanie!E$8-SUM(AB$5:AB224)+1,BR224),0)</f>
        <v>-1673.6119962655957</v>
      </c>
      <c r="BV224" s="10">
        <f t="shared" si="268"/>
        <v>-844.4546833762315</v>
      </c>
      <c r="BX224" s="11">
        <f>BX$5+SUM(BZ$5:BZ223)+SUM(R$5:R223)-SUM(S$5:S223)+SUM(CB$5,CB223)</f>
        <v>229830.79766317303</v>
      </c>
      <c r="BY224" s="10">
        <f t="shared" si="264"/>
        <v>-390.7123560273942</v>
      </c>
      <c r="BZ224" s="10">
        <f t="shared" si="265"/>
        <v>-1110.293708517744</v>
      </c>
      <c r="CA224" s="10">
        <f t="shared" si="275"/>
        <v>-1501.0060645451383</v>
      </c>
      <c r="CB224" s="10">
        <f t="shared" si="276"/>
        <v>-1017.0606150966889</v>
      </c>
      <c r="CD224" s="10">
        <f>CD$5+SUM(CE$5:CE223)+SUM(R$5:R223)-SUM(S$5:S223)-SUM(CF$5:CF223)</f>
        <v>262695.0668522152</v>
      </c>
      <c r="CE224" s="10">
        <f t="shared" si="269"/>
        <v>390.7123560273942</v>
      </c>
      <c r="CF224" s="10">
        <f t="shared" si="270"/>
        <v>2518.0666796418272</v>
      </c>
      <c r="CG224" s="10">
        <f t="shared" si="271"/>
        <v>2127.3543236144333</v>
      </c>
      <c r="CI224" s="44">
        <v>0.3533</v>
      </c>
      <c r="CJ224" s="10">
        <f t="shared" si="272"/>
        <v>-889.63</v>
      </c>
      <c r="CK224" s="4">
        <f t="shared" si="277"/>
        <v>0</v>
      </c>
      <c r="CM224" s="10">
        <f t="shared" si="278"/>
        <v>-326348.0294253413</v>
      </c>
      <c r="CN224" s="4">
        <f t="shared" si="279"/>
        <v>-225.72405368586104</v>
      </c>
    </row>
    <row r="225" spans="1:92" ht="15.75">
      <c r="A225" s="36"/>
      <c r="B225" s="37">
        <v>43952</v>
      </c>
      <c r="C225" s="77">
        <f t="shared" si="260"/>
        <v>4.2838</v>
      </c>
      <c r="D225" s="79">
        <f>C225*(1+Podsumowanie!E$11)</f>
        <v>4.412314</v>
      </c>
      <c r="E225" s="34">
        <f t="shared" si="349"/>
        <v>-567.1294526854326</v>
      </c>
      <c r="F225" s="7">
        <f t="shared" si="350"/>
        <v>-2502.353223896272</v>
      </c>
      <c r="G225" s="7">
        <f t="shared" si="351"/>
        <v>-1250.8527810306525</v>
      </c>
      <c r="H225" s="7">
        <f t="shared" si="352"/>
        <v>1251.5004428656196</v>
      </c>
      <c r="I225" s="32"/>
      <c r="K225" s="4">
        <f>IF(B225&lt;Podsumowanie!E$7,0,K224+1)</f>
        <v>155</v>
      </c>
      <c r="L225" s="100">
        <f t="shared" si="261"/>
        <v>-0.0066</v>
      </c>
      <c r="M225" s="38">
        <f>L225+Podsumowanie!E$6</f>
        <v>0.0054</v>
      </c>
      <c r="N225" s="101">
        <f>MAX(Podsumowanie!E$4+SUM(AA$5:AA224)-SUM(X$5:X225)+SUM(W$5:W225),0)</f>
        <v>112069.92105883693</v>
      </c>
      <c r="O225" s="102">
        <f>MAX(Podsumowanie!E$2+SUM(V$5:V224)-SUM(S$5:S225)+SUM(R$5:R225),0)</f>
        <v>247179.84890847592</v>
      </c>
      <c r="P225" s="39">
        <f t="shared" si="192"/>
        <v>360</v>
      </c>
      <c r="Q225" s="40" t="str">
        <f>IF(AND(K225&gt;0,K225&lt;=Podsumowanie!E$9),"tak","nie")</f>
        <v>nie</v>
      </c>
      <c r="R225" s="41"/>
      <c r="S225" s="42"/>
      <c r="T225" s="88">
        <f t="shared" si="353"/>
        <v>-111.23093200881418</v>
      </c>
      <c r="U225" s="89">
        <f>IF(Q225="tak",T225,IF(P225-SUM(AB$5:AB225)+1&gt;0,IF(Podsumowanie!E$7&lt;B225,IF(SUM(AB$5:AB225)-Podsumowanie!E$9+1&gt;0,PMT(M225/12,P225+1-SUM(AB$5:AB225),O225),T225),0),0))</f>
        <v>-1250.8527810306525</v>
      </c>
      <c r="V225" s="89">
        <f t="shared" si="354"/>
        <v>-1139.6218490218384</v>
      </c>
      <c r="W225" s="90" t="str">
        <f>IF(R225&gt;0,R225/(C225*(1-Podsumowanie!E$11))," ")</f>
        <v xml:space="preserve"> </v>
      </c>
      <c r="X225" s="90">
        <f t="shared" si="266"/>
        <v>0</v>
      </c>
      <c r="Y225" s="91">
        <f t="shared" si="355"/>
        <v>-50.43146447647663</v>
      </c>
      <c r="Z225" s="90">
        <f>IF(P225-SUM(AB$5:AB225)+1&gt;0,IF(Podsumowanie!E$7&lt;B225,IF(SUM(AB$5:AB225)-Podsumowanie!E$9+1&gt;0,PMT(M225/12,P225+1-SUM(AB$5:AB225),N225),Y225),0),0)</f>
        <v>-567.1294526854326</v>
      </c>
      <c r="AA225" s="90">
        <f t="shared" si="356"/>
        <v>-516.697988208956</v>
      </c>
      <c r="AB225" s="8">
        <f>IF(AND(Podsumowanie!E$7&lt;B225,SUM(AB$5:AB224)&lt;P224),1," ")</f>
        <v>1</v>
      </c>
      <c r="AD225" s="51">
        <f>IF(OR(B225&lt;Podsumowanie!E$12,Podsumowanie!E$12=""),-F225+S225,0)</f>
        <v>0</v>
      </c>
      <c r="AE225" s="51">
        <f t="shared" si="267"/>
        <v>567.1294526854326</v>
      </c>
      <c r="AG225" s="10">
        <f>Podsumowanie!E$4-SUM(AI$5:AI224)+SUM(W$42:W225)-SUM(X$42:X225)</f>
        <v>104066.04813555237</v>
      </c>
      <c r="AH225" s="10">
        <f t="shared" si="357"/>
        <v>46.83</v>
      </c>
      <c r="AI225" s="10">
        <f t="shared" si="358"/>
        <v>505.17</v>
      </c>
      <c r="AJ225" s="10">
        <f t="shared" si="359"/>
        <v>552</v>
      </c>
      <c r="AK225" s="10">
        <f t="shared" si="360"/>
        <v>2435.6</v>
      </c>
      <c r="AL225" s="10">
        <f>Podsumowanie!E$2-SUM(AN$5:AN224)+SUM(R$42:R225)-SUM(S$42:S225)</f>
        <v>229526.22999999978</v>
      </c>
      <c r="AM225" s="10">
        <f t="shared" si="361"/>
        <v>103.29</v>
      </c>
      <c r="AN225" s="10">
        <f t="shared" si="362"/>
        <v>1114.21</v>
      </c>
      <c r="AO225" s="10">
        <f t="shared" si="363"/>
        <v>1217.5</v>
      </c>
      <c r="AP225" s="10">
        <f t="shared" si="364"/>
        <v>1218.1</v>
      </c>
      <c r="AR225" s="43">
        <f t="shared" si="365"/>
        <v>43952</v>
      </c>
      <c r="AS225" s="11">
        <f>AS$5+SUM(AV$5:AV224)-SUM(X$5:X225)+SUM(W$5:W225)</f>
        <v>108707.82342707184</v>
      </c>
      <c r="AT225" s="10">
        <f t="shared" si="366"/>
        <v>-48.91852054218233</v>
      </c>
      <c r="AU225" s="10">
        <f>IF(AB225=1,IF(Q225="tak",AT225,PMT(M225/12,P225+1-SUM(AB$5:AB225),AS225)),0)</f>
        <v>-550.1155691048697</v>
      </c>
      <c r="AV225" s="10">
        <f t="shared" si="367"/>
        <v>-501.19704856268737</v>
      </c>
      <c r="AW225" s="10">
        <f t="shared" si="187"/>
        <v>-2356.585074931441</v>
      </c>
      <c r="AY225" s="11">
        <f>AY$5+SUM(BA$5:BA224)+SUM(W$5:W224)-SUM(X$5:X224)</f>
        <v>100943.90719148573</v>
      </c>
      <c r="AZ225" s="11">
        <f t="shared" si="368"/>
        <v>-48.91852054218233</v>
      </c>
      <c r="BA225" s="11">
        <f t="shared" si="369"/>
        <v>-490.02</v>
      </c>
      <c r="BB225" s="11">
        <f t="shared" si="370"/>
        <v>-538.9385205421823</v>
      </c>
      <c r="BC225" s="11">
        <f t="shared" si="371"/>
        <v>-2308.704834298601</v>
      </c>
      <c r="BE225" s="172">
        <f t="shared" si="262"/>
        <v>0.0066</v>
      </c>
      <c r="BF225" s="44">
        <f>BE225+Podsumowanie!$E$6</f>
        <v>0.0186</v>
      </c>
      <c r="BG225" s="11">
        <f>BG$5+SUM(BH$5:BH224)+SUM(R$5:R224)-SUM(S$5:S224)</f>
        <v>287484.86639016937</v>
      </c>
      <c r="BH225" s="10">
        <f t="shared" si="372"/>
        <v>-1178.9757651942125</v>
      </c>
      <c r="BI225" s="10">
        <f t="shared" si="373"/>
        <v>-445.6015429047625</v>
      </c>
      <c r="BJ225" s="10">
        <f>IF(U225&lt;0,PMT(BF225/12,Podsumowanie!E$8-SUM(AB$5:AB225)+1,BG225),0)</f>
        <v>-1624.577308098975</v>
      </c>
      <c r="BL225" s="11">
        <f>BL$5+SUM(BN$5:BN224)+SUM(R$5:R224)-SUM(S$5:S224)</f>
        <v>229526.46239554332</v>
      </c>
      <c r="BM225" s="11">
        <f t="shared" si="216"/>
        <v>-355.7660167130921</v>
      </c>
      <c r="BN225" s="11">
        <f t="shared" si="217"/>
        <v>-1114.2061281337055</v>
      </c>
      <c r="BO225" s="11">
        <f t="shared" si="191"/>
        <v>-1469.9721448467976</v>
      </c>
      <c r="BQ225" s="44">
        <f t="shared" si="263"/>
        <v>0.0187</v>
      </c>
      <c r="BR225" s="11">
        <f>BR$5+SUM(BS$5:BS224)+SUM(R$5:R224)-SUM(S$5:S224)+SUM(BV$5:BV224)</f>
        <v>290993.4786878749</v>
      </c>
      <c r="BS225" s="10">
        <f t="shared" si="273"/>
        <v>-1192.2873953085964</v>
      </c>
      <c r="BT225" s="10">
        <f t="shared" si="274"/>
        <v>-453.46483762193844</v>
      </c>
      <c r="BU225" s="10">
        <f>IF(U225&lt;0,PMT(BQ225/12,Podsumowanie!E$8-SUM(AB$5:AB225)+1,BR225),0)</f>
        <v>-1645.7522329305348</v>
      </c>
      <c r="BV225" s="10">
        <f t="shared" si="268"/>
        <v>-856.6009909657373</v>
      </c>
      <c r="BX225" s="11">
        <f>BX$5+SUM(BZ$5:BZ224)+SUM(R$5:R224)-SUM(S$5:S224)+SUM(CB$5,CB224)</f>
        <v>228506.3315982199</v>
      </c>
      <c r="BY225" s="10">
        <f t="shared" si="264"/>
        <v>-356.089033407226</v>
      </c>
      <c r="BZ225" s="10">
        <f t="shared" si="265"/>
        <v>-1109.2540368845625</v>
      </c>
      <c r="CA225" s="10">
        <f t="shared" si="275"/>
        <v>-1465.3430702917885</v>
      </c>
      <c r="CB225" s="10">
        <f t="shared" si="276"/>
        <v>-1037.0101536044835</v>
      </c>
      <c r="CD225" s="10">
        <f>CD$5+SUM(CE$5:CE224)+SUM(R$5:R224)-SUM(S$5:S224)-SUM(CF$5:CF224)</f>
        <v>260567.71252860082</v>
      </c>
      <c r="CE225" s="10">
        <f t="shared" si="269"/>
        <v>356.089033407226</v>
      </c>
      <c r="CF225" s="10">
        <f t="shared" si="270"/>
        <v>2502.353223896272</v>
      </c>
      <c r="CG225" s="10">
        <f t="shared" si="271"/>
        <v>2146.264190489046</v>
      </c>
      <c r="CI225" s="44">
        <v>0.3547</v>
      </c>
      <c r="CJ225" s="10">
        <f t="shared" si="272"/>
        <v>-887.58</v>
      </c>
      <c r="CK225" s="4">
        <f t="shared" si="277"/>
        <v>0</v>
      </c>
      <c r="CM225" s="10">
        <f t="shared" si="278"/>
        <v>-328850.3826492376</v>
      </c>
      <c r="CN225" s="4">
        <f t="shared" si="279"/>
        <v>-180.86771045708068</v>
      </c>
    </row>
    <row r="226" spans="1:92" ht="15.75">
      <c r="A226" s="36"/>
      <c r="B226" s="37">
        <v>43983</v>
      </c>
      <c r="C226" s="77">
        <f t="shared" si="260"/>
        <v>4.1474</v>
      </c>
      <c r="D226" s="79">
        <f>C226*(1+Podsumowanie!E$11)</f>
        <v>4.271822</v>
      </c>
      <c r="E226" s="34">
        <f t="shared" si="349"/>
        <v>-567.1294526854325</v>
      </c>
      <c r="F226" s="7">
        <f t="shared" si="350"/>
        <v>-2422.67607282959</v>
      </c>
      <c r="G226" s="7">
        <f t="shared" si="351"/>
        <v>-1250.8527810306523</v>
      </c>
      <c r="H226" s="7">
        <f t="shared" si="352"/>
        <v>1171.8232917989376</v>
      </c>
      <c r="I226" s="32"/>
      <c r="K226" s="4">
        <f>IF(B226&lt;Podsumowanie!E$7,0,K225+1)</f>
        <v>156</v>
      </c>
      <c r="L226" s="100">
        <f t="shared" si="261"/>
        <v>-0.0066</v>
      </c>
      <c r="M226" s="38">
        <f>L226+Podsumowanie!E$6</f>
        <v>0.0054</v>
      </c>
      <c r="N226" s="101">
        <f>MAX(Podsumowanie!E$4+SUM(AA$5:AA225)-SUM(X$5:X226)+SUM(W$5:W226),0)</f>
        <v>111553.22307062798</v>
      </c>
      <c r="O226" s="102">
        <f>MAX(Podsumowanie!E$2+SUM(V$5:V225)-SUM(S$5:S226)+SUM(R$5:R226),0)</f>
        <v>246040.22705945408</v>
      </c>
      <c r="P226" s="39">
        <f t="shared" si="192"/>
        <v>360</v>
      </c>
      <c r="Q226" s="40" t="str">
        <f>IF(AND(K226&gt;0,K226&lt;=Podsumowanie!E$9),"tak","nie")</f>
        <v>nie</v>
      </c>
      <c r="R226" s="41"/>
      <c r="S226" s="42"/>
      <c r="T226" s="88">
        <f t="shared" si="353"/>
        <v>-110.71810217675433</v>
      </c>
      <c r="U226" s="89">
        <f>IF(Q226="tak",T226,IF(P226-SUM(AB$5:AB226)+1&gt;0,IF(Podsumowanie!E$7&lt;B226,IF(SUM(AB$5:AB226)-Podsumowanie!E$9+1&gt;0,PMT(M226/12,P226+1-SUM(AB$5:AB226),O226),T226),0),0))</f>
        <v>-1250.8527810306523</v>
      </c>
      <c r="V226" s="89">
        <f t="shared" si="354"/>
        <v>-1140.1346788538979</v>
      </c>
      <c r="W226" s="90" t="str">
        <f>IF(R226&gt;0,R226/(C226*(1-Podsumowanie!E$11))," ")</f>
        <v xml:space="preserve"> </v>
      </c>
      <c r="X226" s="90">
        <f t="shared" si="266"/>
        <v>0</v>
      </c>
      <c r="Y226" s="91">
        <f t="shared" si="355"/>
        <v>-50.198950381782595</v>
      </c>
      <c r="Z226" s="90">
        <f>IF(P226-SUM(AB$5:AB226)+1&gt;0,IF(Podsumowanie!E$7&lt;B226,IF(SUM(AB$5:AB226)-Podsumowanie!E$9+1&gt;0,PMT(M226/12,P226+1-SUM(AB$5:AB226),N226),Y226),0),0)</f>
        <v>-567.1294526854325</v>
      </c>
      <c r="AA226" s="90">
        <f t="shared" si="356"/>
        <v>-516.93050230365</v>
      </c>
      <c r="AB226" s="8">
        <f>IF(AND(Podsumowanie!E$7&lt;B226,SUM(AB$5:AB225)&lt;P225),1," ")</f>
        <v>1</v>
      </c>
      <c r="AD226" s="51">
        <f>IF(OR(B226&lt;Podsumowanie!E$12,Podsumowanie!E$12=""),-F226+S226,0)</f>
        <v>0</v>
      </c>
      <c r="AE226" s="51">
        <f t="shared" si="267"/>
        <v>567.1294526854325</v>
      </c>
      <c r="AG226" s="10">
        <f>Podsumowanie!E$4-SUM(AI$5:AI225)+SUM(W$42:W226)-SUM(X$42:X226)</f>
        <v>103560.87813555237</v>
      </c>
      <c r="AH226" s="10">
        <f t="shared" si="357"/>
        <v>46.6</v>
      </c>
      <c r="AI226" s="10">
        <f t="shared" si="358"/>
        <v>505.18</v>
      </c>
      <c r="AJ226" s="10">
        <f t="shared" si="359"/>
        <v>551.78</v>
      </c>
      <c r="AK226" s="10">
        <f t="shared" si="360"/>
        <v>2357.11</v>
      </c>
      <c r="AL226" s="10">
        <f>Podsumowanie!E$2-SUM(AN$5:AN225)+SUM(R$42:R226)-SUM(S$42:S226)</f>
        <v>228412.0199999998</v>
      </c>
      <c r="AM226" s="10">
        <f t="shared" si="361"/>
        <v>102.79</v>
      </c>
      <c r="AN226" s="10">
        <f t="shared" si="362"/>
        <v>1114.2</v>
      </c>
      <c r="AO226" s="10">
        <f t="shared" si="363"/>
        <v>1216.99</v>
      </c>
      <c r="AP226" s="10">
        <f t="shared" si="364"/>
        <v>1140.1200000000001</v>
      </c>
      <c r="AR226" s="43">
        <f t="shared" si="365"/>
        <v>43983</v>
      </c>
      <c r="AS226" s="11">
        <f>AS$5+SUM(AV$5:AV225)-SUM(X$5:X226)+SUM(W$5:W226)</f>
        <v>108206.62637850916</v>
      </c>
      <c r="AT226" s="10">
        <f t="shared" si="366"/>
        <v>-48.69298187032913</v>
      </c>
      <c r="AU226" s="10">
        <f>IF(AB226=1,IF(Q226="tak",AT226,PMT(M226/12,P226+1-SUM(AB$5:AB226),AS226)),0)</f>
        <v>-550.1155691048697</v>
      </c>
      <c r="AV226" s="10">
        <f t="shared" si="367"/>
        <v>-501.4225872345406</v>
      </c>
      <c r="AW226" s="10">
        <f t="shared" si="187"/>
        <v>-2281.549311305537</v>
      </c>
      <c r="AY226" s="11">
        <f>AY$5+SUM(BA$5:BA225)+SUM(W$5:W225)-SUM(X$5:X225)</f>
        <v>100453.88719148573</v>
      </c>
      <c r="AZ226" s="11">
        <f t="shared" si="368"/>
        <v>-48.69298187032913</v>
      </c>
      <c r="BA226" s="11">
        <f t="shared" si="369"/>
        <v>-490.02</v>
      </c>
      <c r="BB226" s="11">
        <f t="shared" si="370"/>
        <v>-538.7129818703291</v>
      </c>
      <c r="BC226" s="11">
        <f t="shared" si="371"/>
        <v>-2234.258221009003</v>
      </c>
      <c r="BE226" s="172">
        <f t="shared" si="262"/>
        <v>0.0027</v>
      </c>
      <c r="BF226" s="44">
        <f>BE226+Podsumowanie!$E$6</f>
        <v>0.014700000000000001</v>
      </c>
      <c r="BG226" s="11">
        <f>BG$5+SUM(BH$5:BH225)+SUM(R$5:R225)-SUM(S$5:S225)</f>
        <v>286305.89062497515</v>
      </c>
      <c r="BH226" s="10">
        <f t="shared" si="372"/>
        <v>-1222.6862954231074</v>
      </c>
      <c r="BI226" s="10">
        <f t="shared" si="373"/>
        <v>-350.7247160155946</v>
      </c>
      <c r="BJ226" s="10">
        <f>IF(U226&lt;0,PMT(BF226/12,Podsumowanie!E$8-SUM(AB$5:AB226)+1,BG226),0)</f>
        <v>-1573.411011438702</v>
      </c>
      <c r="BL226" s="11">
        <f>BL$5+SUM(BN$5:BN225)+SUM(R$5:R225)-SUM(S$5:S225)</f>
        <v>228412.25626740963</v>
      </c>
      <c r="BM226" s="11">
        <f t="shared" si="216"/>
        <v>-279.8050139275768</v>
      </c>
      <c r="BN226" s="11">
        <f t="shared" si="217"/>
        <v>-1114.2061281337055</v>
      </c>
      <c r="BO226" s="11">
        <f t="shared" si="191"/>
        <v>-1394.0111420612823</v>
      </c>
      <c r="BQ226" s="44">
        <f t="shared" si="263"/>
        <v>0.0148</v>
      </c>
      <c r="BR226" s="11">
        <f>BR$5+SUM(BS$5:BS225)+SUM(R$5:R225)-SUM(S$5:S225)+SUM(BV$5:BV225)</f>
        <v>288944.5903016006</v>
      </c>
      <c r="BS226" s="10">
        <f t="shared" si="273"/>
        <v>-1232.8582309112726</v>
      </c>
      <c r="BT226" s="10">
        <f t="shared" si="274"/>
        <v>-356.3649947053074</v>
      </c>
      <c r="BU226" s="10">
        <f>IF(U226&lt;0,PMT(BQ226/12,Podsumowanie!E$8-SUM(AB$5:AB226)+1,BR226),0)</f>
        <v>-1589.22322561658</v>
      </c>
      <c r="BV226" s="10">
        <f t="shared" si="268"/>
        <v>-833.4528472130098</v>
      </c>
      <c r="BX226" s="11">
        <f>BX$5+SUM(BZ$5:BZ225)+SUM(R$5:R225)-SUM(S$5:S225)+SUM(CB$5,CB225)</f>
        <v>227377.12802282753</v>
      </c>
      <c r="BY226" s="10">
        <f t="shared" si="264"/>
        <v>-280.43179122815394</v>
      </c>
      <c r="BZ226" s="10">
        <f t="shared" si="265"/>
        <v>-1109.1567220625734</v>
      </c>
      <c r="CA226" s="10">
        <f t="shared" si="275"/>
        <v>-1389.5885132907274</v>
      </c>
      <c r="CB226" s="10">
        <f t="shared" si="276"/>
        <v>-1033.0875595388625</v>
      </c>
      <c r="CD226" s="10">
        <f>CD$5+SUM(CE$5:CE225)+SUM(R$5:R225)-SUM(S$5:S225)-SUM(CF$5:CF225)</f>
        <v>258421.4483381117</v>
      </c>
      <c r="CE226" s="10">
        <f t="shared" si="269"/>
        <v>280.43179122815394</v>
      </c>
      <c r="CF226" s="10">
        <f t="shared" si="270"/>
        <v>2422.67607282959</v>
      </c>
      <c r="CG226" s="10">
        <f t="shared" si="271"/>
        <v>2142.244281601436</v>
      </c>
      <c r="CI226" s="44">
        <v>0.3574</v>
      </c>
      <c r="CJ226" s="10">
        <f t="shared" si="272"/>
        <v>-865.86</v>
      </c>
      <c r="CK226" s="4">
        <f t="shared" si="277"/>
        <v>0</v>
      </c>
      <c r="CM226" s="10">
        <f t="shared" si="278"/>
        <v>-331273.05872206716</v>
      </c>
      <c r="CN226" s="4">
        <f t="shared" si="279"/>
        <v>-74.53643821246511</v>
      </c>
    </row>
    <row r="227" spans="1:92" ht="15.75">
      <c r="A227" s="36"/>
      <c r="B227" s="37">
        <v>44013</v>
      </c>
      <c r="C227" s="77">
        <f t="shared" si="260"/>
        <v>4.1611</v>
      </c>
      <c r="D227" s="79">
        <f>C227*(1+Podsumowanie!E$11)</f>
        <v>4.285933</v>
      </c>
      <c r="E227" s="34">
        <f t="shared" si="349"/>
        <v>-567.1294526854326</v>
      </c>
      <c r="F227" s="7">
        <f t="shared" si="350"/>
        <v>-2430.678836536434</v>
      </c>
      <c r="G227" s="7">
        <f t="shared" si="351"/>
        <v>-1250.8527810306523</v>
      </c>
      <c r="H227" s="7">
        <f t="shared" si="352"/>
        <v>1179.8260555057818</v>
      </c>
      <c r="I227" s="32"/>
      <c r="K227" s="4">
        <f>IF(B227&lt;Podsumowanie!E$7,0,K226+1)</f>
        <v>157</v>
      </c>
      <c r="L227" s="100">
        <f t="shared" si="261"/>
        <v>-0.0066</v>
      </c>
      <c r="M227" s="38">
        <f>L227+Podsumowanie!E$6</f>
        <v>0.0054</v>
      </c>
      <c r="N227" s="101">
        <f>MAX(Podsumowanie!E$4+SUM(AA$5:AA226)-SUM(X$5:X227)+SUM(W$5:W227),0)</f>
        <v>111036.29256832434</v>
      </c>
      <c r="O227" s="102">
        <f>MAX(Podsumowanie!E$2+SUM(V$5:V226)-SUM(S$5:S227)+SUM(R$5:R227),0)</f>
        <v>244900.09238060017</v>
      </c>
      <c r="P227" s="39">
        <f t="shared" si="192"/>
        <v>360</v>
      </c>
      <c r="Q227" s="40" t="str">
        <f>IF(AND(K227&gt;0,K227&lt;=Podsumowanie!E$9),"tak","nie")</f>
        <v>nie</v>
      </c>
      <c r="R227" s="41"/>
      <c r="S227" s="42"/>
      <c r="T227" s="88">
        <f t="shared" si="353"/>
        <v>-110.20504157127009</v>
      </c>
      <c r="U227" s="89">
        <f>IF(Q227="tak",T227,IF(P227-SUM(AB$5:AB227)+1&gt;0,IF(Podsumowanie!E$7&lt;B227,IF(SUM(AB$5:AB227)-Podsumowanie!E$9+1&gt;0,PMT(M227/12,P227+1-SUM(AB$5:AB227),O227),T227),0),0))</f>
        <v>-1250.8527810306523</v>
      </c>
      <c r="V227" s="89">
        <f t="shared" si="354"/>
        <v>-1140.6477394593821</v>
      </c>
      <c r="W227" s="90" t="str">
        <f>IF(R227&gt;0,R227/(C227*(1-Podsumowanie!E$11))," ")</f>
        <v xml:space="preserve"> </v>
      </c>
      <c r="X227" s="90">
        <f t="shared" si="266"/>
        <v>0</v>
      </c>
      <c r="Y227" s="91">
        <f t="shared" si="355"/>
        <v>-49.966331655745954</v>
      </c>
      <c r="Z227" s="90">
        <f>IF(P227-SUM(AB$5:AB227)+1&gt;0,IF(Podsumowanie!E$7&lt;B227,IF(SUM(AB$5:AB227)-Podsumowanie!E$9+1&gt;0,PMT(M227/12,P227+1-SUM(AB$5:AB227),N227),Y227),0),0)</f>
        <v>-567.1294526854326</v>
      </c>
      <c r="AA227" s="90">
        <f t="shared" si="356"/>
        <v>-517.1631210296866</v>
      </c>
      <c r="AB227" s="8">
        <f>IF(AND(Podsumowanie!E$7&lt;B227,SUM(AB$5:AB226)&lt;P226),1," ")</f>
        <v>1</v>
      </c>
      <c r="AD227" s="51">
        <f>IF(OR(B227&lt;Podsumowanie!E$12,Podsumowanie!E$12=""),-F227+S227,0)</f>
        <v>0</v>
      </c>
      <c r="AE227" s="51">
        <f t="shared" si="267"/>
        <v>567.1294526854326</v>
      </c>
      <c r="AG227" s="10">
        <f>Podsumowanie!E$4-SUM(AI$5:AI226)+SUM(W$42:W227)-SUM(X$42:X227)</f>
        <v>103055.69813555237</v>
      </c>
      <c r="AH227" s="10">
        <f t="shared" si="357"/>
        <v>46.38</v>
      </c>
      <c r="AI227" s="10">
        <f t="shared" si="358"/>
        <v>505.17</v>
      </c>
      <c r="AJ227" s="10">
        <f t="shared" si="359"/>
        <v>551.5500000000001</v>
      </c>
      <c r="AK227" s="10">
        <f t="shared" si="360"/>
        <v>2363.91</v>
      </c>
      <c r="AL227" s="10">
        <f>Podsumowanie!E$2-SUM(AN$5:AN226)+SUM(R$42:R227)-SUM(S$42:S227)</f>
        <v>227297.81999999977</v>
      </c>
      <c r="AM227" s="10">
        <f t="shared" si="361"/>
        <v>102.28</v>
      </c>
      <c r="AN227" s="10">
        <f t="shared" si="362"/>
        <v>1114.21</v>
      </c>
      <c r="AO227" s="10">
        <f t="shared" si="363"/>
        <v>1216.49</v>
      </c>
      <c r="AP227" s="10">
        <f t="shared" si="364"/>
        <v>1147.4199999999998</v>
      </c>
      <c r="AR227" s="43">
        <f t="shared" si="365"/>
        <v>44013</v>
      </c>
      <c r="AS227" s="11">
        <f>AS$5+SUM(AV$5:AV226)-SUM(X$5:X227)+SUM(W$5:W227)</f>
        <v>107705.20379127462</v>
      </c>
      <c r="AT227" s="10">
        <f t="shared" si="366"/>
        <v>-48.467341706073576</v>
      </c>
      <c r="AU227" s="10">
        <f>IF(AB227=1,IF(Q227="tak",AT227,PMT(M227/12,P227+1-SUM(AB$5:AB227),AS227)),0)</f>
        <v>-550.1155691048697</v>
      </c>
      <c r="AV227" s="10">
        <f t="shared" si="367"/>
        <v>-501.6482273987961</v>
      </c>
      <c r="AW227" s="10">
        <f t="shared" si="187"/>
        <v>-2289.085894602273</v>
      </c>
      <c r="AY227" s="11">
        <f>AY$5+SUM(BA$5:BA226)+SUM(W$5:W226)-SUM(X$5:X226)</f>
        <v>99963.86719148573</v>
      </c>
      <c r="AZ227" s="11">
        <f t="shared" si="368"/>
        <v>-48.467341706073576</v>
      </c>
      <c r="BA227" s="11">
        <f t="shared" si="369"/>
        <v>-490.02</v>
      </c>
      <c r="BB227" s="11">
        <f t="shared" si="370"/>
        <v>-538.4873417060736</v>
      </c>
      <c r="BC227" s="11">
        <f t="shared" si="371"/>
        <v>-2240.699677573143</v>
      </c>
      <c r="BE227" s="172">
        <f t="shared" si="262"/>
        <v>0.0025</v>
      </c>
      <c r="BF227" s="44">
        <f>BE227+Podsumowanie!$E$6</f>
        <v>0.0145</v>
      </c>
      <c r="BG227" s="11">
        <f>BG$5+SUM(BH$5:BH226)+SUM(R$5:R226)-SUM(S$5:S226)</f>
        <v>285083.204329552</v>
      </c>
      <c r="BH227" s="10">
        <f t="shared" si="372"/>
        <v>-1226.3512707308394</v>
      </c>
      <c r="BI227" s="10">
        <f t="shared" si="373"/>
        <v>-344.4755385648754</v>
      </c>
      <c r="BJ227" s="10">
        <f>IF(U227&lt;0,PMT(BF227/12,Podsumowanie!E$8-SUM(AB$5:AB227)+1,BG227),0)</f>
        <v>-1570.8268092957148</v>
      </c>
      <c r="BL227" s="11">
        <f>BL$5+SUM(BN$5:BN226)+SUM(R$5:R226)-SUM(S$5:S226)</f>
        <v>227298.05013927593</v>
      </c>
      <c r="BM227" s="11">
        <f t="shared" si="216"/>
        <v>-274.65181058495847</v>
      </c>
      <c r="BN227" s="11">
        <f t="shared" si="217"/>
        <v>-1114.2061281337055</v>
      </c>
      <c r="BO227" s="11">
        <f t="shared" si="191"/>
        <v>-1388.857938718664</v>
      </c>
      <c r="BQ227" s="44">
        <f t="shared" si="263"/>
        <v>0.0146</v>
      </c>
      <c r="BR227" s="11">
        <f>BR$5+SUM(BS$5:BS226)+SUM(R$5:R226)-SUM(S$5:S226)+SUM(BV$5:BV226)</f>
        <v>286878.2792234763</v>
      </c>
      <c r="BS227" s="10">
        <f t="shared" si="273"/>
        <v>-1232.982447205858</v>
      </c>
      <c r="BT227" s="10">
        <f t="shared" si="274"/>
        <v>-349.0352397218962</v>
      </c>
      <c r="BU227" s="10">
        <f>IF(U227&lt;0,PMT(BQ227/12,Podsumowanie!E$8-SUM(AB$5:AB227)+1,BR227),0)</f>
        <v>-1582.0176869277543</v>
      </c>
      <c r="BV227" s="10">
        <f t="shared" si="268"/>
        <v>-848.6611496086798</v>
      </c>
      <c r="BX227" s="11">
        <f>BX$5+SUM(BZ$5:BZ226)+SUM(R$5:R226)-SUM(S$5:S226)+SUM(CB$5,CB226)</f>
        <v>226271.89389483057</v>
      </c>
      <c r="BY227" s="10">
        <f t="shared" si="264"/>
        <v>-275.2974709053772</v>
      </c>
      <c r="BZ227" s="10">
        <f t="shared" si="265"/>
        <v>-1109.1759504648558</v>
      </c>
      <c r="CA227" s="10">
        <f t="shared" si="275"/>
        <v>-1384.473421370233</v>
      </c>
      <c r="CB227" s="10">
        <f t="shared" si="276"/>
        <v>-1046.2054151662012</v>
      </c>
      <c r="CD227" s="10">
        <f>CD$5+SUM(CE$5:CE226)+SUM(R$5:R226)-SUM(S$5:S226)-SUM(CF$5:CF226)</f>
        <v>256279.20405651024</v>
      </c>
      <c r="CE227" s="10">
        <f t="shared" si="269"/>
        <v>275.2974709053772</v>
      </c>
      <c r="CF227" s="10">
        <f t="shared" si="270"/>
        <v>2430.678836536434</v>
      </c>
      <c r="CG227" s="10">
        <f t="shared" si="271"/>
        <v>2155.3813656310567</v>
      </c>
      <c r="CI227" s="44">
        <v>0.3493</v>
      </c>
      <c r="CJ227" s="10">
        <f t="shared" si="272"/>
        <v>-849.04</v>
      </c>
      <c r="CK227" s="4">
        <f t="shared" si="277"/>
        <v>0</v>
      </c>
      <c r="CM227" s="10">
        <f t="shared" si="278"/>
        <v>-333703.7375586036</v>
      </c>
      <c r="CN227" s="4">
        <f t="shared" si="279"/>
        <v>-69.52161199137575</v>
      </c>
    </row>
    <row r="228" spans="1:92" ht="15.75">
      <c r="A228" s="36"/>
      <c r="B228" s="37">
        <v>44044</v>
      </c>
      <c r="C228" s="77">
        <f t="shared" si="260"/>
        <v>4.0882</v>
      </c>
      <c r="D228" s="79">
        <f>C228*(1+Podsumowanie!E$11)</f>
        <v>4.210846</v>
      </c>
      <c r="E228" s="34">
        <f t="shared" si="349"/>
        <v>-567.1294526854325</v>
      </c>
      <c r="F228" s="7">
        <f t="shared" si="350"/>
        <v>-2388.094787322643</v>
      </c>
      <c r="G228" s="7">
        <f t="shared" si="351"/>
        <v>-1250.8527810306523</v>
      </c>
      <c r="H228" s="7">
        <f t="shared" si="352"/>
        <v>1137.2420062919905</v>
      </c>
      <c r="I228" s="32"/>
      <c r="K228" s="4">
        <f>IF(B228&lt;Podsumowanie!E$7,0,K227+1)</f>
        <v>158</v>
      </c>
      <c r="L228" s="100">
        <f t="shared" si="261"/>
        <v>-0.0066</v>
      </c>
      <c r="M228" s="38">
        <f>L228+Podsumowanie!E$6</f>
        <v>0.0054</v>
      </c>
      <c r="N228" s="101">
        <f>MAX(Podsumowanie!E$4+SUM(AA$5:AA227)-SUM(X$5:X228)+SUM(W$5:W228),0)</f>
        <v>110519.12944729465</v>
      </c>
      <c r="O228" s="102">
        <f>MAX(Podsumowanie!E$2+SUM(V$5:V227)-SUM(S$5:S228)+SUM(R$5:R228),0)</f>
        <v>243759.44464114078</v>
      </c>
      <c r="P228" s="39">
        <f t="shared" si="192"/>
        <v>360</v>
      </c>
      <c r="Q228" s="40" t="str">
        <f>IF(AND(K228&gt;0,K228&lt;=Podsumowanie!E$9),"tak","nie")</f>
        <v>nie</v>
      </c>
      <c r="R228" s="41"/>
      <c r="S228" s="42"/>
      <c r="T228" s="88">
        <f t="shared" si="353"/>
        <v>-109.69175008851336</v>
      </c>
      <c r="U228" s="89">
        <f>IF(Q228="tak",T228,IF(P228-SUM(AB$5:AB228)+1&gt;0,IF(Podsumowanie!E$7&lt;B228,IF(SUM(AB$5:AB228)-Podsumowanie!E$9+1&gt;0,PMT(M228/12,P228+1-SUM(AB$5:AB228),O228),T228),0),0))</f>
        <v>-1250.8527810306523</v>
      </c>
      <c r="V228" s="89">
        <f t="shared" si="354"/>
        <v>-1141.161030942139</v>
      </c>
      <c r="W228" s="90" t="str">
        <f>IF(R228&gt;0,R228/(C228*(1-Podsumowanie!E$11))," ")</f>
        <v xml:space="preserve"> </v>
      </c>
      <c r="X228" s="90">
        <f t="shared" si="266"/>
        <v>0</v>
      </c>
      <c r="Y228" s="91">
        <f t="shared" si="355"/>
        <v>-49.73360825128259</v>
      </c>
      <c r="Z228" s="90">
        <f>IF(P228-SUM(AB$5:AB228)+1&gt;0,IF(Podsumowanie!E$7&lt;B228,IF(SUM(AB$5:AB228)-Podsumowanie!E$9+1&gt;0,PMT(M228/12,P228+1-SUM(AB$5:AB228),N228),Y228),0),0)</f>
        <v>-567.1294526854325</v>
      </c>
      <c r="AA228" s="90">
        <f t="shared" si="356"/>
        <v>-517.3958444341499</v>
      </c>
      <c r="AB228" s="8">
        <f>IF(AND(Podsumowanie!E$7&lt;B228,SUM(AB$5:AB227)&lt;P227),1," ")</f>
        <v>1</v>
      </c>
      <c r="AD228" s="51">
        <f>IF(OR(B228&lt;Podsumowanie!E$12,Podsumowanie!E$12=""),-F228+S228,0)</f>
        <v>0</v>
      </c>
      <c r="AE228" s="51">
        <f t="shared" si="267"/>
        <v>567.1294526854325</v>
      </c>
      <c r="AG228" s="10">
        <f>Podsumowanie!E$4-SUM(AI$5:AI227)+SUM(W$42:W228)-SUM(X$42:X228)</f>
        <v>102550.52813555238</v>
      </c>
      <c r="AH228" s="10">
        <f t="shared" si="357"/>
        <v>46.15</v>
      </c>
      <c r="AI228" s="10">
        <f t="shared" si="358"/>
        <v>505.18</v>
      </c>
      <c r="AJ228" s="10">
        <f t="shared" si="359"/>
        <v>551.33</v>
      </c>
      <c r="AK228" s="10">
        <f t="shared" si="360"/>
        <v>2321.57</v>
      </c>
      <c r="AL228" s="10">
        <f>Podsumowanie!E$2-SUM(AN$5:AN227)+SUM(R$42:R228)-SUM(S$42:S228)</f>
        <v>226183.60999999978</v>
      </c>
      <c r="AM228" s="10">
        <f t="shared" si="361"/>
        <v>101.78</v>
      </c>
      <c r="AN228" s="10">
        <f t="shared" si="362"/>
        <v>1114.2</v>
      </c>
      <c r="AO228" s="10">
        <f t="shared" si="363"/>
        <v>1215.98</v>
      </c>
      <c r="AP228" s="10">
        <f t="shared" si="364"/>
        <v>1105.5900000000001</v>
      </c>
      <c r="AR228" s="43">
        <f t="shared" si="365"/>
        <v>44044</v>
      </c>
      <c r="AS228" s="11">
        <f>AS$5+SUM(AV$5:AV227)-SUM(X$5:X228)+SUM(W$5:W228)</f>
        <v>107203.55556387582</v>
      </c>
      <c r="AT228" s="10">
        <f t="shared" si="366"/>
        <v>-48.24160000374412</v>
      </c>
      <c r="AU228" s="10">
        <f>IF(AB228=1,IF(Q228="tak",AT228,PMT(M228/12,P228+1-SUM(AB$5:AB228),AS228)),0)</f>
        <v>-550.1155691048697</v>
      </c>
      <c r="AV228" s="10">
        <f t="shared" si="367"/>
        <v>-501.87396910112557</v>
      </c>
      <c r="AW228" s="10">
        <f t="shared" si="187"/>
        <v>-2248.982469614528</v>
      </c>
      <c r="AY228" s="11">
        <f>AY$5+SUM(BA$5:BA227)+SUM(W$5:W227)-SUM(X$5:X227)</f>
        <v>99473.84719148572</v>
      </c>
      <c r="AZ228" s="11">
        <f t="shared" si="368"/>
        <v>-48.24160000374412</v>
      </c>
      <c r="BA228" s="11">
        <f t="shared" si="369"/>
        <v>-490.02</v>
      </c>
      <c r="BB228" s="11">
        <f t="shared" si="370"/>
        <v>-538.2616000037441</v>
      </c>
      <c r="BC228" s="11">
        <f t="shared" si="371"/>
        <v>-2200.5210731353063</v>
      </c>
      <c r="BE228" s="172">
        <f t="shared" si="262"/>
        <v>0.0023</v>
      </c>
      <c r="BF228" s="44">
        <f>BE228+Podsumowanie!$E$6</f>
        <v>0.0143</v>
      </c>
      <c r="BG228" s="11">
        <f>BG$5+SUM(BH$5:BH227)+SUM(R$5:R227)-SUM(S$5:S227)</f>
        <v>283856.8530588212</v>
      </c>
      <c r="BH228" s="10">
        <f t="shared" si="372"/>
        <v>-1229.9945295849316</v>
      </c>
      <c r="BI228" s="10">
        <f t="shared" si="373"/>
        <v>-338.2627498950952</v>
      </c>
      <c r="BJ228" s="10">
        <f>IF(U228&lt;0,PMT(BF228/12,Podsumowanie!E$8-SUM(AB$5:AB228)+1,BG228),0)</f>
        <v>-1568.2572794800267</v>
      </c>
      <c r="BL228" s="11">
        <f>BL$5+SUM(BN$5:BN227)+SUM(R$5:R227)-SUM(S$5:S227)</f>
        <v>226183.84401114224</v>
      </c>
      <c r="BM228" s="11">
        <f t="shared" si="216"/>
        <v>-269.5357474466112</v>
      </c>
      <c r="BN228" s="11">
        <f t="shared" si="217"/>
        <v>-1114.2061281337055</v>
      </c>
      <c r="BO228" s="11">
        <f t="shared" si="191"/>
        <v>-1383.7418755803167</v>
      </c>
      <c r="BQ228" s="44">
        <f t="shared" si="263"/>
        <v>0.0144</v>
      </c>
      <c r="BR228" s="11">
        <f>BR$5+SUM(BS$5:BS227)+SUM(R$5:R227)-SUM(S$5:S227)+SUM(BV$5:BV227)</f>
        <v>284796.63562666177</v>
      </c>
      <c r="BS228" s="10">
        <f t="shared" si="273"/>
        <v>-1232.9821286612007</v>
      </c>
      <c r="BT228" s="10">
        <f t="shared" si="274"/>
        <v>-341.7559627519941</v>
      </c>
      <c r="BU228" s="10">
        <f>IF(U228&lt;0,PMT(BQ228/12,Podsumowanie!E$8-SUM(AB$5:AB228)+1,BR228),0)</f>
        <v>-1574.7380914131948</v>
      </c>
      <c r="BV228" s="10">
        <f t="shared" si="268"/>
        <v>-813.356695909448</v>
      </c>
      <c r="BX228" s="11">
        <f>BX$5+SUM(BZ$5:BZ227)+SUM(R$5:R227)-SUM(S$5:S227)+SUM(CB$5,CB227)</f>
        <v>225149.6000887384</v>
      </c>
      <c r="BY228" s="10">
        <f t="shared" si="264"/>
        <v>-270.1795201064861</v>
      </c>
      <c r="BZ228" s="10">
        <f t="shared" si="265"/>
        <v>-1109.1113304863961</v>
      </c>
      <c r="CA228" s="10">
        <f t="shared" si="275"/>
        <v>-1379.2908505928822</v>
      </c>
      <c r="CB228" s="10">
        <f t="shared" si="276"/>
        <v>-1008.8039367297606</v>
      </c>
      <c r="CD228" s="10">
        <f>CD$5+SUM(CE$5:CE227)+SUM(R$5:R227)-SUM(S$5:S227)-SUM(CF$5:CF227)</f>
        <v>254123.8226908793</v>
      </c>
      <c r="CE228" s="10">
        <f t="shared" si="269"/>
        <v>270.1795201064861</v>
      </c>
      <c r="CF228" s="10">
        <f t="shared" si="270"/>
        <v>2388.094787322643</v>
      </c>
      <c r="CG228" s="10">
        <f t="shared" si="271"/>
        <v>2117.9152672161567</v>
      </c>
      <c r="CI228" s="44">
        <v>0.352</v>
      </c>
      <c r="CJ228" s="10">
        <f t="shared" si="272"/>
        <v>-840.61</v>
      </c>
      <c r="CK228" s="4">
        <f t="shared" si="277"/>
        <v>0</v>
      </c>
      <c r="CM228" s="10">
        <f t="shared" si="278"/>
        <v>-336091.8323459262</v>
      </c>
      <c r="CN228" s="4">
        <f t="shared" si="279"/>
        <v>-64.41760119963585</v>
      </c>
    </row>
    <row r="229" spans="1:92" ht="15.75">
      <c r="A229" s="36"/>
      <c r="B229" s="37">
        <v>44075</v>
      </c>
      <c r="C229" s="77">
        <f t="shared" si="260"/>
        <v>4.1487</v>
      </c>
      <c r="D229" s="79">
        <f>C229*(1+Podsumowanie!E$11)</f>
        <v>4.273161</v>
      </c>
      <c r="E229" s="34">
        <f aca="true" t="shared" si="374" ref="E229:E237">Z229</f>
        <v>-567.1294526854326</v>
      </c>
      <c r="F229" s="7">
        <f aca="true" t="shared" si="375" ref="F229:F237">E229*D229</f>
        <v>-2423.435459166736</v>
      </c>
      <c r="G229" s="7">
        <f aca="true" t="shared" si="376" ref="G229:G237">U229</f>
        <v>-1250.8527810306525</v>
      </c>
      <c r="H229" s="7">
        <f aca="true" t="shared" si="377" ref="H229:H237">G229-F229</f>
        <v>1172.5826781360836</v>
      </c>
      <c r="I229" s="32"/>
      <c r="K229" s="4">
        <f>IF(B229&lt;Podsumowanie!E$7,0,K228+1)</f>
        <v>159</v>
      </c>
      <c r="L229" s="100">
        <f t="shared" si="261"/>
        <v>-0.0066</v>
      </c>
      <c r="M229" s="38">
        <f>L229+Podsumowanie!E$6</f>
        <v>0.0054</v>
      </c>
      <c r="N229" s="101">
        <f>MAX(Podsumowanie!E$4+SUM(AA$5:AA228)-SUM(X$5:X229)+SUM(W$5:W229),0)</f>
        <v>110001.73360286049</v>
      </c>
      <c r="O229" s="102">
        <f>MAX(Podsumowanie!E$2+SUM(V$5:V228)-SUM(S$5:S229)+SUM(R$5:R229),0)</f>
        <v>242618.28361019865</v>
      </c>
      <c r="P229" s="39">
        <f t="shared" si="192"/>
        <v>360</v>
      </c>
      <c r="Q229" s="40" t="str">
        <f>IF(AND(K229&gt;0,K229&lt;=Podsumowanie!E$9),"tak","nie")</f>
        <v>nie</v>
      </c>
      <c r="R229" s="41"/>
      <c r="S229" s="42"/>
      <c r="T229" s="88">
        <f aca="true" t="shared" si="378" ref="T229:T237">IF(AB229=1,-O229*M229/12,0)</f>
        <v>-109.1782276245894</v>
      </c>
      <c r="U229" s="89">
        <f>IF(Q229="tak",T229,IF(P229-SUM(AB$5:AB229)+1&gt;0,IF(Podsumowanie!E$7&lt;B229,IF(SUM(AB$5:AB229)-Podsumowanie!E$9+1&gt;0,PMT(M229/12,P229+1-SUM(AB$5:AB229),O229),T229),0),0))</f>
        <v>-1250.8527810306525</v>
      </c>
      <c r="V229" s="89">
        <f aca="true" t="shared" si="379" ref="V229:V237">U229-T229</f>
        <v>-1141.674553406063</v>
      </c>
      <c r="W229" s="90" t="str">
        <f>IF(R229&gt;0,R229/(C229*(1-Podsumowanie!E$11))," ")</f>
        <v xml:space="preserve"> </v>
      </c>
      <c r="X229" s="90">
        <f t="shared" si="266"/>
        <v>0</v>
      </c>
      <c r="Y229" s="91">
        <f aca="true" t="shared" si="380" ref="Y229:Y237">IF(AB229=1,-N229*M229/12,0)</f>
        <v>-49.50078012128722</v>
      </c>
      <c r="Z229" s="90">
        <f>IF(P229-SUM(AB$5:AB229)+1&gt;0,IF(Podsumowanie!E$7&lt;B229,IF(SUM(AB$5:AB229)-Podsumowanie!E$9+1&gt;0,PMT(M229/12,P229+1-SUM(AB$5:AB229),N229),Y229),0),0)</f>
        <v>-567.1294526854326</v>
      </c>
      <c r="AA229" s="90">
        <f aca="true" t="shared" si="381" ref="AA229:AA237">Z229-Y229</f>
        <v>-517.6286725641454</v>
      </c>
      <c r="AB229" s="8">
        <f>IF(AND(Podsumowanie!E$7&lt;B229,SUM(AB$5:AB228)&lt;P228),1," ")</f>
        <v>1</v>
      </c>
      <c r="AD229" s="51">
        <f>IF(OR(B229&lt;Podsumowanie!E$12,Podsumowanie!E$12=""),-F229+S229,0)</f>
        <v>0</v>
      </c>
      <c r="AE229" s="51">
        <f t="shared" si="267"/>
        <v>567.1294526854326</v>
      </c>
      <c r="AG229" s="10">
        <f>Podsumowanie!E$4-SUM(AI$5:AI228)+SUM(W$42:W229)-SUM(X$42:X229)</f>
        <v>102045.34813555238</v>
      </c>
      <c r="AH229" s="10">
        <f aca="true" t="shared" si="382" ref="AH229:AH237">IF(AB229=1,ROUND(AG229*M229/12,2),0)</f>
        <v>45.92</v>
      </c>
      <c r="AI229" s="10">
        <f aca="true" t="shared" si="383" ref="AI229:AI237">IF(Q229="tak",0,IF(AB229=1,ROUND(AG229/(P229-K229+1),2),0))</f>
        <v>505.17</v>
      </c>
      <c r="AJ229" s="10">
        <f aca="true" t="shared" si="384" ref="AJ229:AJ237">AI229+AH229</f>
        <v>551.09</v>
      </c>
      <c r="AK229" s="10">
        <f aca="true" t="shared" si="385" ref="AK229:AK237">ROUND(AJ229*D229,2)</f>
        <v>2354.9</v>
      </c>
      <c r="AL229" s="10">
        <f>Podsumowanie!E$2-SUM(AN$5:AN228)+SUM(R$42:R229)-SUM(S$42:S229)</f>
        <v>225069.40999999977</v>
      </c>
      <c r="AM229" s="10">
        <f aca="true" t="shared" si="386" ref="AM229:AM237">IF(AB229=1,ROUND(AL229*M229/12,2),0)</f>
        <v>101.28</v>
      </c>
      <c r="AN229" s="10">
        <f aca="true" t="shared" si="387" ref="AN229:AN237">IF(Q229="tak",0,IF(AB229=1,ROUND(AL229/(P229-K229+1),2),0))</f>
        <v>1114.21</v>
      </c>
      <c r="AO229" s="10">
        <f aca="true" t="shared" si="388" ref="AO229:AO237">AN229+AM229</f>
        <v>1215.49</v>
      </c>
      <c r="AP229" s="10">
        <f aca="true" t="shared" si="389" ref="AP229:AP237">AK229-AO229</f>
        <v>1139.41</v>
      </c>
      <c r="AR229" s="43">
        <f aca="true" t="shared" si="390" ref="AR229:AR237">B229</f>
        <v>44075</v>
      </c>
      <c r="AS229" s="11">
        <f>AS$5+SUM(AV$5:AV228)-SUM(X$5:X229)+SUM(W$5:W229)</f>
        <v>106701.6815947747</v>
      </c>
      <c r="AT229" s="10">
        <f aca="true" t="shared" si="391" ref="AT229:AT237">IF(AB229=1,-AS229*M229/12,0)</f>
        <v>-48.01575671764862</v>
      </c>
      <c r="AU229" s="10">
        <f>IF(AB229=1,IF(Q229="tak",AT229,PMT(M229/12,P229+1-SUM(AB$5:AB229),AS229)),0)</f>
        <v>-550.1155691048698</v>
      </c>
      <c r="AV229" s="10">
        <f aca="true" t="shared" si="392" ref="AV229:AV237">AU229-AT229</f>
        <v>-502.09981238722116</v>
      </c>
      <c r="AW229" s="10">
        <f aca="true" t="shared" si="393" ref="AW229:AW237">AU229*C229</f>
        <v>-2282.2644615453733</v>
      </c>
      <c r="AY229" s="11">
        <f>AY$5+SUM(BA$5:BA228)+SUM(W$5:W228)-SUM(X$5:X228)</f>
        <v>98983.82719148572</v>
      </c>
      <c r="AZ229" s="11">
        <f aca="true" t="shared" si="394" ref="AZ229:AZ237">IF(AB229=1,-AS229*M229/12,0)</f>
        <v>-48.01575671764862</v>
      </c>
      <c r="BA229" s="11">
        <f aca="true" t="shared" si="395" ref="BA229:BA237">IF(AB229=1,IF(Q229="tak",0,ROUND(-AY229/(P229-K229+1),2)),0)</f>
        <v>-490.02</v>
      </c>
      <c r="BB229" s="11">
        <f aca="true" t="shared" si="396" ref="BB229:BB237">BA229+AZ229</f>
        <v>-538.0357567176486</v>
      </c>
      <c r="BC229" s="11">
        <f aca="true" t="shared" si="397" ref="BC229:BC237">BB229*C229</f>
        <v>-2232.1489438945086</v>
      </c>
      <c r="BE229" s="172">
        <f t="shared" si="262"/>
        <v>0.0023</v>
      </c>
      <c r="BF229" s="44">
        <f>BE229+Podsumowanie!$E$6</f>
        <v>0.0143</v>
      </c>
      <c r="BG229" s="11">
        <f>BG$5+SUM(BH$5:BH228)+SUM(R$5:R228)-SUM(S$5:S228)</f>
        <v>282626.8585292363</v>
      </c>
      <c r="BH229" s="10">
        <f aca="true" t="shared" si="398" ref="BH229:BH237">IF(BJ229&lt;0,BJ229-BI229,0)</f>
        <v>-1231.4602730660201</v>
      </c>
      <c r="BI229" s="10">
        <f aca="true" t="shared" si="399" ref="BI229:BI237">IF(BJ229&lt;0,-BG229*BF229/12,0)</f>
        <v>-336.7970064140066</v>
      </c>
      <c r="BJ229" s="10">
        <f>IF(U229&lt;0,PMT(BF229/12,Podsumowanie!E$8-SUM(AB$5:AB229)+1,BG229),0)</f>
        <v>-1568.2572794800267</v>
      </c>
      <c r="BL229" s="11">
        <f>BL$5+SUM(BN$5:BN228)+SUM(R$5:R228)-SUM(S$5:S228)</f>
        <v>225069.63788300855</v>
      </c>
      <c r="BM229" s="11">
        <f t="shared" si="216"/>
        <v>-268.2079851439185</v>
      </c>
      <c r="BN229" s="11">
        <f t="shared" si="217"/>
        <v>-1114.2061281337058</v>
      </c>
      <c r="BO229" s="11">
        <f t="shared" si="191"/>
        <v>-1382.4141132776242</v>
      </c>
      <c r="BQ229" s="44">
        <f t="shared" si="263"/>
        <v>0.0144</v>
      </c>
      <c r="BR229" s="11">
        <f>BR$5+SUM(BS$5:BS228)+SUM(R$5:R228)-SUM(S$5:S228)+SUM(BV$5:BV228)</f>
        <v>282750.2968020911</v>
      </c>
      <c r="BS229" s="10">
        <f t="shared" si="273"/>
        <v>-1230.920852514994</v>
      </c>
      <c r="BT229" s="10">
        <f t="shared" si="274"/>
        <v>-339.30035616250933</v>
      </c>
      <c r="BU229" s="10">
        <f>IF(U229&lt;0,PMT(BQ229/12,Podsumowanie!E$8-SUM(AB$5:AB229)+1,BR229),0)</f>
        <v>-1570.2212086775035</v>
      </c>
      <c r="BV229" s="10">
        <f t="shared" si="268"/>
        <v>-853.2142504892327</v>
      </c>
      <c r="BX229" s="11">
        <f>BX$5+SUM(BZ$5:BZ228)+SUM(R$5:R228)-SUM(S$5:S228)+SUM(CB$5,CB228)</f>
        <v>224077.89023668843</v>
      </c>
      <c r="BY229" s="10">
        <f t="shared" si="264"/>
        <v>-268.89346828402614</v>
      </c>
      <c r="BZ229" s="10">
        <f t="shared" si="265"/>
        <v>-1109.2964863202396</v>
      </c>
      <c r="CA229" s="10">
        <f t="shared" si="275"/>
        <v>-1378.1899546042657</v>
      </c>
      <c r="CB229" s="10">
        <f t="shared" si="276"/>
        <v>-1045.2455045624704</v>
      </c>
      <c r="CD229" s="10">
        <f>CD$5+SUM(CE$5:CE228)+SUM(R$5:R228)-SUM(S$5:S228)-SUM(CF$5:CF228)</f>
        <v>252005.9074236632</v>
      </c>
      <c r="CE229" s="10">
        <f t="shared" si="269"/>
        <v>268.89346828402614</v>
      </c>
      <c r="CF229" s="10">
        <f t="shared" si="270"/>
        <v>2423.435459166736</v>
      </c>
      <c r="CG229" s="10">
        <f t="shared" si="271"/>
        <v>2154.54199088271</v>
      </c>
      <c r="CI229" s="44">
        <v>0.3534</v>
      </c>
      <c r="CJ229" s="10">
        <f t="shared" si="272"/>
        <v>-856.44</v>
      </c>
      <c r="CK229" s="4">
        <f t="shared" si="277"/>
        <v>0</v>
      </c>
      <c r="CM229" s="10">
        <f t="shared" si="278"/>
        <v>-338515.26780509297</v>
      </c>
      <c r="CN229" s="4">
        <f t="shared" si="279"/>
        <v>-64.88209299597615</v>
      </c>
    </row>
    <row r="230" spans="1:92" ht="15.75">
      <c r="A230" s="36"/>
      <c r="B230" s="37">
        <v>44105</v>
      </c>
      <c r="C230" s="77">
        <f t="shared" si="260"/>
        <v>4.2282</v>
      </c>
      <c r="D230" s="79">
        <f>C230*(1+Podsumowanie!E$11)</f>
        <v>4.355046000000001</v>
      </c>
      <c r="E230" s="34">
        <f t="shared" si="374"/>
        <v>-561.950105242696</v>
      </c>
      <c r="F230" s="7">
        <f t="shared" si="375"/>
        <v>-2447.3185580367826</v>
      </c>
      <c r="G230" s="7">
        <f t="shared" si="376"/>
        <v>-1239.429284821817</v>
      </c>
      <c r="H230" s="7">
        <f t="shared" si="377"/>
        <v>1207.8892732149657</v>
      </c>
      <c r="I230" s="32"/>
      <c r="K230" s="4">
        <f>IF(B230&lt;Podsumowanie!E$7,0,K229+1)</f>
        <v>160</v>
      </c>
      <c r="L230" s="100">
        <f t="shared" si="261"/>
        <v>-0.0077</v>
      </c>
      <c r="M230" s="38">
        <f>L230+Podsumowanie!E$6</f>
        <v>0.0043</v>
      </c>
      <c r="N230" s="101">
        <f>MAX(Podsumowanie!E$4+SUM(AA$5:AA229)-SUM(X$5:X230)+SUM(W$5:W230),0)</f>
        <v>109484.10493029635</v>
      </c>
      <c r="O230" s="102">
        <f>MAX(Podsumowanie!E$2+SUM(V$5:V229)-SUM(S$5:S230)+SUM(R$5:R230),0)</f>
        <v>241476.60905679257</v>
      </c>
      <c r="P230" s="39">
        <f t="shared" si="192"/>
        <v>360</v>
      </c>
      <c r="Q230" s="40" t="str">
        <f>IF(AND(K230&gt;0,K230&lt;=Podsumowanie!E$9),"tak","nie")</f>
        <v>nie</v>
      </c>
      <c r="R230" s="41"/>
      <c r="S230" s="42"/>
      <c r="T230" s="88">
        <f t="shared" si="378"/>
        <v>-86.52911824535067</v>
      </c>
      <c r="U230" s="89">
        <f>IF(Q230="tak",T230,IF(P230-SUM(AB$5:AB230)+1&gt;0,IF(Podsumowanie!E$7&lt;B230,IF(SUM(AB$5:AB230)-Podsumowanie!E$9+1&gt;0,PMT(M230/12,P230+1-SUM(AB$5:AB230),O230),T230),0),0))</f>
        <v>-1239.429284821817</v>
      </c>
      <c r="V230" s="89">
        <f t="shared" si="379"/>
        <v>-1152.9001665764663</v>
      </c>
      <c r="W230" s="90" t="str">
        <f>IF(R230&gt;0,R230/(C230*(1-Podsumowanie!E$11))," ")</f>
        <v xml:space="preserve"> </v>
      </c>
      <c r="X230" s="90">
        <f t="shared" si="266"/>
        <v>0</v>
      </c>
      <c r="Y230" s="91">
        <f t="shared" si="380"/>
        <v>-39.23180426668953</v>
      </c>
      <c r="Z230" s="90">
        <f>IF(P230-SUM(AB$5:AB230)+1&gt;0,IF(Podsumowanie!E$7&lt;B230,IF(SUM(AB$5:AB230)-Podsumowanie!E$9+1&gt;0,PMT(M230/12,P230+1-SUM(AB$5:AB230),N230),Y230),0),0)</f>
        <v>-561.950105242696</v>
      </c>
      <c r="AA230" s="90">
        <f t="shared" si="381"/>
        <v>-522.7183009760065</v>
      </c>
      <c r="AB230" s="8">
        <f>IF(AND(Podsumowanie!E$7&lt;B230,SUM(AB$5:AB229)&lt;P229),1," ")</f>
        <v>1</v>
      </c>
      <c r="AD230" s="51">
        <f>IF(OR(B230&lt;Podsumowanie!E$12,Podsumowanie!E$12=""),-F230+S230,0)</f>
        <v>0</v>
      </c>
      <c r="AE230" s="51">
        <f t="shared" si="267"/>
        <v>561.950105242696</v>
      </c>
      <c r="AG230" s="10">
        <f>Podsumowanie!E$4-SUM(AI$5:AI229)+SUM(W$42:W230)-SUM(X$42:X230)</f>
        <v>101540.17813555239</v>
      </c>
      <c r="AH230" s="10">
        <f t="shared" si="382"/>
        <v>36.39</v>
      </c>
      <c r="AI230" s="10">
        <f t="shared" si="383"/>
        <v>505.18</v>
      </c>
      <c r="AJ230" s="10">
        <f t="shared" si="384"/>
        <v>541.57</v>
      </c>
      <c r="AK230" s="10">
        <f t="shared" si="385"/>
        <v>2358.56</v>
      </c>
      <c r="AL230" s="10">
        <f>Podsumowanie!E$2-SUM(AN$5:AN229)+SUM(R$42:R230)-SUM(S$42:S230)</f>
        <v>223955.19999999978</v>
      </c>
      <c r="AM230" s="10">
        <f t="shared" si="386"/>
        <v>80.25</v>
      </c>
      <c r="AN230" s="10">
        <f t="shared" si="387"/>
        <v>1114.2</v>
      </c>
      <c r="AO230" s="10">
        <f t="shared" si="388"/>
        <v>1194.45</v>
      </c>
      <c r="AP230" s="10">
        <f t="shared" si="389"/>
        <v>1164.11</v>
      </c>
      <c r="AR230" s="43">
        <f t="shared" si="390"/>
        <v>44105</v>
      </c>
      <c r="AS230" s="11">
        <f>AS$5+SUM(AV$5:AV229)-SUM(X$5:X230)+SUM(W$5:W230)</f>
        <v>106199.58178238747</v>
      </c>
      <c r="AT230" s="10">
        <f t="shared" si="391"/>
        <v>-38.05485013868884</v>
      </c>
      <c r="AU230" s="10">
        <f>IF(AB230=1,IF(Q230="tak",AT230,PMT(M230/12,P230+1-SUM(AB$5:AB230),AS230)),0)</f>
        <v>-545.0916020854153</v>
      </c>
      <c r="AV230" s="10">
        <f t="shared" si="392"/>
        <v>-507.03675194672644</v>
      </c>
      <c r="AW230" s="10">
        <f t="shared" si="393"/>
        <v>-2304.756311937553</v>
      </c>
      <c r="AY230" s="11">
        <f>AY$5+SUM(BA$5:BA229)+SUM(W$5:W229)-SUM(X$5:X229)</f>
        <v>98493.80719148571</v>
      </c>
      <c r="AZ230" s="11">
        <f t="shared" si="394"/>
        <v>-38.05485013868884</v>
      </c>
      <c r="BA230" s="11">
        <f t="shared" si="395"/>
        <v>-490.02</v>
      </c>
      <c r="BB230" s="11">
        <f t="shared" si="396"/>
        <v>-528.0748501386888</v>
      </c>
      <c r="BC230" s="11">
        <f t="shared" si="397"/>
        <v>-2232.8060813564043</v>
      </c>
      <c r="BE230" s="172">
        <f t="shared" si="262"/>
        <v>0.0022</v>
      </c>
      <c r="BF230" s="44">
        <f>BE230+Podsumowanie!$E$6</f>
        <v>0.0142</v>
      </c>
      <c r="BG230" s="11">
        <f>BG$5+SUM(BH$5:BH229)+SUM(R$5:R229)-SUM(S$5:S229)</f>
        <v>281395.3982561702</v>
      </c>
      <c r="BH230" s="10">
        <f t="shared" si="398"/>
        <v>-1234.000954827916</v>
      </c>
      <c r="BI230" s="10">
        <f t="shared" si="399"/>
        <v>-332.98455460313477</v>
      </c>
      <c r="BJ230" s="10">
        <f>IF(U230&lt;0,PMT(BF230/12,Podsumowanie!E$8-SUM(AB$5:AB230)+1,BG230),0)</f>
        <v>-1566.9855094310508</v>
      </c>
      <c r="BL230" s="11">
        <f>BL$5+SUM(BN$5:BN229)+SUM(R$5:R229)-SUM(S$5:S229)</f>
        <v>223955.43175487485</v>
      </c>
      <c r="BM230" s="11">
        <f t="shared" si="216"/>
        <v>-265.01392757660193</v>
      </c>
      <c r="BN230" s="11">
        <f t="shared" si="217"/>
        <v>-1114.2061281337058</v>
      </c>
      <c r="BO230" s="11">
        <f t="shared" si="191"/>
        <v>-1379.2200557103076</v>
      </c>
      <c r="BQ230" s="44">
        <f t="shared" si="263"/>
        <v>0.0143</v>
      </c>
      <c r="BR230" s="11">
        <f>BR$5+SUM(BS$5:BS229)+SUM(R$5:R229)-SUM(S$5:S229)+SUM(BV$5:BV229)</f>
        <v>280666.16169908695</v>
      </c>
      <c r="BS230" s="10">
        <f t="shared" si="273"/>
        <v>-1229.732629250434</v>
      </c>
      <c r="BT230" s="10">
        <f t="shared" si="274"/>
        <v>-334.46050935807864</v>
      </c>
      <c r="BU230" s="10">
        <f>IF(U230&lt;0,PMT(BQ230/12,Podsumowanie!E$8-SUM(AB$5:AB230)+1,BR230),0)</f>
        <v>-1564.1931386085128</v>
      </c>
      <c r="BV230" s="10">
        <f t="shared" si="268"/>
        <v>-883.1254194282699</v>
      </c>
      <c r="BX230" s="11">
        <f>BX$5+SUM(BZ$5:BZ229)+SUM(R$5:R229)-SUM(S$5:S229)+SUM(CB$5,CB229)</f>
        <v>222932.15218253547</v>
      </c>
      <c r="BY230" s="10">
        <f t="shared" si="264"/>
        <v>-265.6608146841881</v>
      </c>
      <c r="BZ230" s="10">
        <f t="shared" si="265"/>
        <v>-1109.1151849877388</v>
      </c>
      <c r="CA230" s="10">
        <f t="shared" si="275"/>
        <v>-1374.775999671927</v>
      </c>
      <c r="CB230" s="10">
        <f t="shared" si="276"/>
        <v>-1072.5425583648557</v>
      </c>
      <c r="CD230" s="10">
        <f>CD$5+SUM(CE$5:CE229)+SUM(R$5:R229)-SUM(S$5:S229)-SUM(CF$5:CF229)</f>
        <v>249851.36543278035</v>
      </c>
      <c r="CE230" s="10">
        <f t="shared" si="269"/>
        <v>265.6608146841881</v>
      </c>
      <c r="CF230" s="10">
        <f t="shared" si="270"/>
        <v>2447.3185580367826</v>
      </c>
      <c r="CG230" s="10">
        <f t="shared" si="271"/>
        <v>2181.6577433525945</v>
      </c>
      <c r="CI230" s="44">
        <v>0.3507</v>
      </c>
      <c r="CJ230" s="10">
        <f t="shared" si="272"/>
        <v>-858.27</v>
      </c>
      <c r="CK230" s="4">
        <f t="shared" si="277"/>
        <v>0</v>
      </c>
      <c r="CM230" s="10">
        <f t="shared" si="278"/>
        <v>-340962.5863631297</v>
      </c>
      <c r="CN230" s="4">
        <f t="shared" si="279"/>
        <v>-62.50980749990712</v>
      </c>
    </row>
    <row r="231" spans="1:92" ht="15.75">
      <c r="A231" s="36"/>
      <c r="B231" s="37">
        <v>44136</v>
      </c>
      <c r="C231" s="77">
        <f t="shared" si="260"/>
        <v>4.1783</v>
      </c>
      <c r="D231" s="79">
        <f>C231*(1+Podsumowanie!E$11)</f>
        <v>4.303649</v>
      </c>
      <c r="E231" s="34">
        <f t="shared" si="374"/>
        <v>-561.950105242696</v>
      </c>
      <c r="F231" s="7">
        <f t="shared" si="375"/>
        <v>-2418.4360084776235</v>
      </c>
      <c r="G231" s="7">
        <f t="shared" si="376"/>
        <v>-1239.429284821817</v>
      </c>
      <c r="H231" s="7">
        <f t="shared" si="377"/>
        <v>1179.0067236558066</v>
      </c>
      <c r="I231" s="32"/>
      <c r="K231" s="4">
        <f>IF(B231&lt;Podsumowanie!E$7,0,K230+1)</f>
        <v>161</v>
      </c>
      <c r="L231" s="100">
        <f t="shared" si="261"/>
        <v>-0.0077</v>
      </c>
      <c r="M231" s="38">
        <f>L231+Podsumowanie!E$6</f>
        <v>0.0043</v>
      </c>
      <c r="N231" s="101">
        <f>MAX(Podsumowanie!E$4+SUM(AA$5:AA230)-SUM(X$5:X231)+SUM(W$5:W231),0)</f>
        <v>108961.38662932035</v>
      </c>
      <c r="O231" s="102">
        <f>MAX(Podsumowanie!E$2+SUM(V$5:V230)-SUM(S$5:S231)+SUM(R$5:R231),0)</f>
        <v>240323.7088902161</v>
      </c>
      <c r="P231" s="39">
        <f t="shared" si="192"/>
        <v>360</v>
      </c>
      <c r="Q231" s="40" t="str">
        <f>IF(AND(K231&gt;0,K231&lt;=Podsumowanie!E$9),"tak","nie")</f>
        <v>nie</v>
      </c>
      <c r="R231" s="41"/>
      <c r="S231" s="42"/>
      <c r="T231" s="88">
        <f t="shared" si="378"/>
        <v>-86.11599568566078</v>
      </c>
      <c r="U231" s="89">
        <f>IF(Q231="tak",T231,IF(P231-SUM(AB$5:AB231)+1&gt;0,IF(Podsumowanie!E$7&lt;B231,IF(SUM(AB$5:AB231)-Podsumowanie!E$9+1&gt;0,PMT(M231/12,P231+1-SUM(AB$5:AB231),O231),T231),0),0))</f>
        <v>-1239.429284821817</v>
      </c>
      <c r="V231" s="89">
        <f t="shared" si="379"/>
        <v>-1153.313289136156</v>
      </c>
      <c r="W231" s="90" t="str">
        <f>IF(R231&gt;0,R231/(C231*(1-Podsumowanie!E$11))," ")</f>
        <v xml:space="preserve"> </v>
      </c>
      <c r="X231" s="90">
        <f t="shared" si="266"/>
        <v>0</v>
      </c>
      <c r="Y231" s="91">
        <f t="shared" si="380"/>
        <v>-39.04449687550646</v>
      </c>
      <c r="Z231" s="90">
        <f>IF(P231-SUM(AB$5:AB231)+1&gt;0,IF(Podsumowanie!E$7&lt;B231,IF(SUM(AB$5:AB231)-Podsumowanie!E$9+1&gt;0,PMT(M231/12,P231+1-SUM(AB$5:AB231),N231),Y231),0),0)</f>
        <v>-561.950105242696</v>
      </c>
      <c r="AA231" s="90">
        <f t="shared" si="381"/>
        <v>-522.9056083671896</v>
      </c>
      <c r="AB231" s="8">
        <f>IF(AND(Podsumowanie!E$7&lt;B231,SUM(AB$5:AB230)&lt;P230),1," ")</f>
        <v>1</v>
      </c>
      <c r="AD231" s="51">
        <f>IF(OR(B231&lt;Podsumowanie!E$12,Podsumowanie!E$12=""),-F231+S231,0)</f>
        <v>0</v>
      </c>
      <c r="AE231" s="51">
        <f t="shared" si="267"/>
        <v>561.950105242696</v>
      </c>
      <c r="AG231" s="10">
        <f>Podsumowanie!E$4-SUM(AI$5:AI230)+SUM(W$42:W231)-SUM(X$42:X231)</f>
        <v>101034.99813555239</v>
      </c>
      <c r="AH231" s="10">
        <f t="shared" si="382"/>
        <v>36.2</v>
      </c>
      <c r="AI231" s="10">
        <f t="shared" si="383"/>
        <v>505.17</v>
      </c>
      <c r="AJ231" s="10">
        <f t="shared" si="384"/>
        <v>541.37</v>
      </c>
      <c r="AK231" s="10">
        <f t="shared" si="385"/>
        <v>2329.87</v>
      </c>
      <c r="AL231" s="10">
        <f>Podsumowanie!E$2-SUM(AN$5:AN230)+SUM(R$42:R231)-SUM(S$42:S231)</f>
        <v>222840.99999999977</v>
      </c>
      <c r="AM231" s="10">
        <f t="shared" si="386"/>
        <v>79.85</v>
      </c>
      <c r="AN231" s="10">
        <f t="shared" si="387"/>
        <v>1114.21</v>
      </c>
      <c r="AO231" s="10">
        <f t="shared" si="388"/>
        <v>1194.06</v>
      </c>
      <c r="AP231" s="10">
        <f t="shared" si="389"/>
        <v>1135.81</v>
      </c>
      <c r="AR231" s="43">
        <f t="shared" si="390"/>
        <v>44136</v>
      </c>
      <c r="AS231" s="11">
        <f>AS$5+SUM(AV$5:AV230)-SUM(X$5:X231)+SUM(W$5:W231)</f>
        <v>105692.54503044074</v>
      </c>
      <c r="AT231" s="10">
        <f t="shared" si="391"/>
        <v>-37.873161969241266</v>
      </c>
      <c r="AU231" s="10">
        <f>IF(AB231=1,IF(Q231="tak",AT231,PMT(M231/12,P231+1-SUM(AB$5:AB231),AS231)),0)</f>
        <v>-545.0916020854153</v>
      </c>
      <c r="AV231" s="10">
        <f t="shared" si="392"/>
        <v>-507.218440116174</v>
      </c>
      <c r="AW231" s="10">
        <f t="shared" si="393"/>
        <v>-2277.5562409934905</v>
      </c>
      <c r="AY231" s="11">
        <f>AY$5+SUM(BA$5:BA230)+SUM(W$5:W230)-SUM(X$5:X230)</f>
        <v>98003.78719148571</v>
      </c>
      <c r="AZ231" s="11">
        <f t="shared" si="394"/>
        <v>-37.873161969241266</v>
      </c>
      <c r="BA231" s="11">
        <f t="shared" si="395"/>
        <v>-490.02</v>
      </c>
      <c r="BB231" s="11">
        <f t="shared" si="396"/>
        <v>-527.8931619692412</v>
      </c>
      <c r="BC231" s="11">
        <f t="shared" si="397"/>
        <v>-2205.6959986560805</v>
      </c>
      <c r="BE231" s="172">
        <f t="shared" si="262"/>
        <v>0.0022</v>
      </c>
      <c r="BF231" s="44">
        <f>BE231+Podsumowanie!$E$6</f>
        <v>0.0142</v>
      </c>
      <c r="BG231" s="11">
        <f>BG$5+SUM(BH$5:BH230)+SUM(R$5:R230)-SUM(S$5:S230)</f>
        <v>280161.39730134234</v>
      </c>
      <c r="BH231" s="10">
        <f t="shared" si="398"/>
        <v>-1235.4611892911294</v>
      </c>
      <c r="BI231" s="10">
        <f t="shared" si="399"/>
        <v>-331.52432013992177</v>
      </c>
      <c r="BJ231" s="10">
        <f>IF(U231&lt;0,PMT(BF231/12,Podsumowanie!E$8-SUM(AB$5:AB231)+1,BG231),0)</f>
        <v>-1566.9855094310512</v>
      </c>
      <c r="BL231" s="11">
        <f>BL$5+SUM(BN$5:BN230)+SUM(R$5:R230)-SUM(S$5:S230)</f>
        <v>222841.22562674116</v>
      </c>
      <c r="BM231" s="11">
        <f t="shared" si="216"/>
        <v>-263.69545032497706</v>
      </c>
      <c r="BN231" s="11">
        <f t="shared" si="217"/>
        <v>-1114.2061281337058</v>
      </c>
      <c r="BO231" s="11">
        <f t="shared" si="191"/>
        <v>-1377.9015784586827</v>
      </c>
      <c r="BQ231" s="44">
        <f t="shared" si="263"/>
        <v>0.0143</v>
      </c>
      <c r="BR231" s="11">
        <f>BR$5+SUM(BS$5:BS230)+SUM(R$5:R230)-SUM(S$5:S230)+SUM(BV$5:BV230)</f>
        <v>278553.3036504082</v>
      </c>
      <c r="BS231" s="10">
        <f t="shared" si="273"/>
        <v>-1227.3070063880643</v>
      </c>
      <c r="BT231" s="10">
        <f t="shared" si="274"/>
        <v>-331.94268685006983</v>
      </c>
      <c r="BU231" s="10">
        <f>IF(U231&lt;0,PMT(BQ231/12,Podsumowanie!E$8-SUM(AB$5:AB231)+1,BR231),0)</f>
        <v>-1559.2496932381341</v>
      </c>
      <c r="BV231" s="10">
        <f t="shared" si="268"/>
        <v>-859.1863152394894</v>
      </c>
      <c r="BX231" s="11">
        <f>BX$5+SUM(BZ$5:BZ230)+SUM(R$5:R230)-SUM(S$5:S230)+SUM(CB$5,CB230)</f>
        <v>221795.73994374534</v>
      </c>
      <c r="BY231" s="10">
        <f t="shared" si="264"/>
        <v>-264.3065900996299</v>
      </c>
      <c r="BZ231" s="10">
        <f t="shared" si="265"/>
        <v>-1108.9786997187266</v>
      </c>
      <c r="CA231" s="10">
        <f t="shared" si="275"/>
        <v>-1373.2852898183564</v>
      </c>
      <c r="CB231" s="10">
        <f t="shared" si="276"/>
        <v>-1045.150718659267</v>
      </c>
      <c r="CD231" s="10">
        <f>CD$5+SUM(CE$5:CE230)+SUM(R$5:R230)-SUM(S$5:S230)-SUM(CF$5:CF230)</f>
        <v>247669.70768942783</v>
      </c>
      <c r="CE231" s="10">
        <f t="shared" si="269"/>
        <v>264.3065900996299</v>
      </c>
      <c r="CF231" s="10">
        <f t="shared" si="270"/>
        <v>2418.4360084776235</v>
      </c>
      <c r="CG231" s="10">
        <f t="shared" si="271"/>
        <v>2154.1294183779937</v>
      </c>
      <c r="CI231" s="44">
        <v>0.3493</v>
      </c>
      <c r="CJ231" s="10">
        <f t="shared" si="272"/>
        <v>-844.76</v>
      </c>
      <c r="CK231" s="4">
        <f t="shared" si="277"/>
        <v>0</v>
      </c>
      <c r="CM231" s="10">
        <f t="shared" si="278"/>
        <v>-343381.02237160737</v>
      </c>
      <c r="CN231" s="4">
        <f t="shared" si="279"/>
        <v>-62.95318743479469</v>
      </c>
    </row>
    <row r="232" spans="1:92" ht="15.75">
      <c r="A232" s="36"/>
      <c r="B232" s="37">
        <v>44166</v>
      </c>
      <c r="C232" s="77">
        <f t="shared" si="260"/>
        <v>4.1383</v>
      </c>
      <c r="D232" s="79">
        <f>C232*(1+Podsumowanie!E$11)</f>
        <v>4.262449</v>
      </c>
      <c r="E232" s="34">
        <f t="shared" si="374"/>
        <v>-561.9501052426962</v>
      </c>
      <c r="F232" s="7">
        <f t="shared" si="375"/>
        <v>-2395.283664141625</v>
      </c>
      <c r="G232" s="7">
        <f t="shared" si="376"/>
        <v>-1239.429284821817</v>
      </c>
      <c r="H232" s="7">
        <f t="shared" si="377"/>
        <v>1155.8543793198082</v>
      </c>
      <c r="I232" s="32"/>
      <c r="K232" s="4">
        <f>IF(B232&lt;Podsumowanie!E$7,0,K231+1)</f>
        <v>162</v>
      </c>
      <c r="L232" s="100">
        <f t="shared" si="261"/>
        <v>-0.0077</v>
      </c>
      <c r="M232" s="38">
        <f>L232+Podsumowanie!E$6</f>
        <v>0.0043</v>
      </c>
      <c r="N232" s="101">
        <f>MAX(Podsumowanie!E$4+SUM(AA$5:AA231)-SUM(X$5:X232)+SUM(W$5:W232),0)</f>
        <v>108438.48102095316</v>
      </c>
      <c r="O232" s="102">
        <f>MAX(Podsumowanie!E$2+SUM(V$5:V231)-SUM(S$5:S232)+SUM(R$5:R232),0)</f>
        <v>239170.39560107994</v>
      </c>
      <c r="P232" s="39">
        <f t="shared" si="192"/>
        <v>360</v>
      </c>
      <c r="Q232" s="40" t="str">
        <f>IF(AND(K232&gt;0,K232&lt;=Podsumowanie!E$9),"tak","nie")</f>
        <v>nie</v>
      </c>
      <c r="R232" s="41"/>
      <c r="S232" s="42"/>
      <c r="T232" s="88">
        <f t="shared" si="378"/>
        <v>-85.70272509038698</v>
      </c>
      <c r="U232" s="89">
        <f>IF(Q232="tak",T232,IF(P232-SUM(AB$5:AB232)+1&gt;0,IF(Podsumowanie!E$7&lt;B232,IF(SUM(AB$5:AB232)-Podsumowanie!E$9+1&gt;0,PMT(M232/12,P232+1-SUM(AB$5:AB232),O232),T232),0),0))</f>
        <v>-1239.429284821817</v>
      </c>
      <c r="V232" s="89">
        <f t="shared" si="379"/>
        <v>-1153.72655973143</v>
      </c>
      <c r="W232" s="90" t="str">
        <f>IF(R232&gt;0,R232/(C232*(1-Podsumowanie!E$11))," ")</f>
        <v xml:space="preserve"> </v>
      </c>
      <c r="X232" s="90">
        <f t="shared" si="266"/>
        <v>0</v>
      </c>
      <c r="Y232" s="91">
        <f t="shared" si="380"/>
        <v>-38.85712236584155</v>
      </c>
      <c r="Z232" s="90">
        <f>IF(P232-SUM(AB$5:AB232)+1&gt;0,IF(Podsumowanie!E$7&lt;B232,IF(SUM(AB$5:AB232)-Podsumowanie!E$9+1&gt;0,PMT(M232/12,P232+1-SUM(AB$5:AB232),N232),Y232),0),0)</f>
        <v>-561.9501052426962</v>
      </c>
      <c r="AA232" s="90">
        <f t="shared" si="381"/>
        <v>-523.0929828768546</v>
      </c>
      <c r="AB232" s="8">
        <f>IF(AND(Podsumowanie!E$7&lt;B232,SUM(AB$5:AB231)&lt;P231),1," ")</f>
        <v>1</v>
      </c>
      <c r="AD232" s="51">
        <f>IF(OR(B232&lt;Podsumowanie!E$12,Podsumowanie!E$12=""),-F232+S232,0)</f>
        <v>0</v>
      </c>
      <c r="AE232" s="51">
        <f t="shared" si="267"/>
        <v>561.9501052426962</v>
      </c>
      <c r="AG232" s="10">
        <f>Podsumowanie!E$4-SUM(AI$5:AI231)+SUM(W$42:W232)-SUM(X$42:X232)</f>
        <v>100529.8281355524</v>
      </c>
      <c r="AH232" s="10">
        <f t="shared" si="382"/>
        <v>36.02</v>
      </c>
      <c r="AI232" s="10">
        <f t="shared" si="383"/>
        <v>505.18</v>
      </c>
      <c r="AJ232" s="10">
        <f t="shared" si="384"/>
        <v>541.2</v>
      </c>
      <c r="AK232" s="10">
        <f t="shared" si="385"/>
        <v>2306.84</v>
      </c>
      <c r="AL232" s="10">
        <f>Podsumowanie!E$2-SUM(AN$5:AN231)+SUM(R$42:R232)-SUM(S$42:S232)</f>
        <v>221726.78999999978</v>
      </c>
      <c r="AM232" s="10">
        <f t="shared" si="386"/>
        <v>79.45</v>
      </c>
      <c r="AN232" s="10">
        <f t="shared" si="387"/>
        <v>1114.2</v>
      </c>
      <c r="AO232" s="10">
        <f t="shared" si="388"/>
        <v>1193.65</v>
      </c>
      <c r="AP232" s="10">
        <f t="shared" si="389"/>
        <v>1113.19</v>
      </c>
      <c r="AR232" s="43">
        <f t="shared" si="390"/>
        <v>44166</v>
      </c>
      <c r="AS232" s="11">
        <f>AS$5+SUM(AV$5:AV231)-SUM(X$5:X232)+SUM(W$5:W232)</f>
        <v>105185.32659032456</v>
      </c>
      <c r="AT232" s="10">
        <f t="shared" si="391"/>
        <v>-37.691408694866304</v>
      </c>
      <c r="AU232" s="10">
        <f>IF(AB232=1,IF(Q232="tak",AT232,PMT(M232/12,P232+1-SUM(AB$5:AB232),AS232)),0)</f>
        <v>-545.0916020854153</v>
      </c>
      <c r="AV232" s="10">
        <f t="shared" si="392"/>
        <v>-507.40019339054896</v>
      </c>
      <c r="AW232" s="10">
        <f t="shared" si="393"/>
        <v>-2255.752576910074</v>
      </c>
      <c r="AY232" s="11">
        <f>AY$5+SUM(BA$5:BA231)+SUM(W$5:W231)-SUM(X$5:X231)</f>
        <v>97513.7671914857</v>
      </c>
      <c r="AZ232" s="11">
        <f t="shared" si="394"/>
        <v>-37.691408694866304</v>
      </c>
      <c r="BA232" s="11">
        <f t="shared" si="395"/>
        <v>-490.02</v>
      </c>
      <c r="BB232" s="11">
        <f t="shared" si="396"/>
        <v>-527.7114086948662</v>
      </c>
      <c r="BC232" s="11">
        <f t="shared" si="397"/>
        <v>-2183.828122601965</v>
      </c>
      <c r="BE232" s="172">
        <f t="shared" si="262"/>
        <v>0.0021</v>
      </c>
      <c r="BF232" s="44">
        <f>BE232+Podsumowanie!$E$6</f>
        <v>0.0141</v>
      </c>
      <c r="BG232" s="11">
        <f>BG$5+SUM(BH$5:BH231)+SUM(R$5:R231)-SUM(S$5:S231)</f>
        <v>278925.9361120512</v>
      </c>
      <c r="BH232" s="10">
        <f t="shared" si="398"/>
        <v>-1237.9884226489996</v>
      </c>
      <c r="BI232" s="10">
        <f t="shared" si="399"/>
        <v>-327.7379749316602</v>
      </c>
      <c r="BJ232" s="10">
        <f>IF(U232&lt;0,PMT(BF232/12,Podsumowanie!E$8-SUM(AB$5:AB232)+1,BG232),0)</f>
        <v>-1565.7263975806598</v>
      </c>
      <c r="BL232" s="11">
        <f>BL$5+SUM(BN$5:BN231)+SUM(R$5:R231)-SUM(S$5:S231)</f>
        <v>221727.01949860746</v>
      </c>
      <c r="BM232" s="11">
        <f t="shared" si="216"/>
        <v>-260.5292479108638</v>
      </c>
      <c r="BN232" s="11">
        <f t="shared" si="217"/>
        <v>-1114.2061281337058</v>
      </c>
      <c r="BO232" s="11">
        <f t="shared" si="191"/>
        <v>-1374.7353760445694</v>
      </c>
      <c r="BQ232" s="44">
        <f t="shared" si="263"/>
        <v>0.014199999999999999</v>
      </c>
      <c r="BR232" s="11">
        <f>BR$5+SUM(BS$5:BS231)+SUM(R$5:R231)-SUM(S$5:S231)+SUM(BV$5:BV231)</f>
        <v>276466.8103287806</v>
      </c>
      <c r="BS232" s="10">
        <f t="shared" si="273"/>
        <v>-1226.0179284099204</v>
      </c>
      <c r="BT232" s="10">
        <f t="shared" si="274"/>
        <v>-327.15239222239035</v>
      </c>
      <c r="BU232" s="10">
        <f>IF(U232&lt;0,PMT(BQ232/12,Podsumowanie!E$8-SUM(AB$5:AB232)+1,BR232),0)</f>
        <v>-1553.1703206323107</v>
      </c>
      <c r="BV232" s="10">
        <f t="shared" si="268"/>
        <v>-842.1133435093145</v>
      </c>
      <c r="BX232" s="11">
        <f>BX$5+SUM(BZ$5:BZ231)+SUM(R$5:R231)-SUM(S$5:S231)+SUM(CB$5,CB231)</f>
        <v>220714.1530837322</v>
      </c>
      <c r="BY232" s="10">
        <f t="shared" si="264"/>
        <v>-261.17841448241643</v>
      </c>
      <c r="BZ232" s="10">
        <f t="shared" si="265"/>
        <v>-1109.1163471544332</v>
      </c>
      <c r="CA232" s="10">
        <f t="shared" si="275"/>
        <v>-1370.2947616368497</v>
      </c>
      <c r="CB232" s="10">
        <f t="shared" si="276"/>
        <v>-1024.9889025047755</v>
      </c>
      <c r="CD232" s="10">
        <f>CD$5+SUM(CE$5:CE231)+SUM(R$5:R231)-SUM(S$5:S231)-SUM(CF$5:CF231)</f>
        <v>245515.57827104977</v>
      </c>
      <c r="CE232" s="10">
        <f t="shared" si="269"/>
        <v>261.17841448241643</v>
      </c>
      <c r="CF232" s="10">
        <f t="shared" si="270"/>
        <v>2395.283664141625</v>
      </c>
      <c r="CG232" s="10">
        <f t="shared" si="271"/>
        <v>2134.1052496592088</v>
      </c>
      <c r="CI232" s="44">
        <v>0.348</v>
      </c>
      <c r="CJ232" s="10">
        <f t="shared" si="272"/>
        <v>-833.56</v>
      </c>
      <c r="CK232" s="4">
        <f t="shared" si="277"/>
        <v>0</v>
      </c>
      <c r="CM232" s="10">
        <f t="shared" si="278"/>
        <v>-345776.306035749</v>
      </c>
      <c r="CN232" s="4">
        <f t="shared" si="279"/>
        <v>-60.51085355625607</v>
      </c>
    </row>
    <row r="233" spans="1:92" ht="15.75">
      <c r="A233" s="36">
        <v>2021</v>
      </c>
      <c r="B233" s="37">
        <v>44197</v>
      </c>
      <c r="C233" s="77">
        <f t="shared" si="260"/>
        <v>4.209</v>
      </c>
      <c r="D233" s="79">
        <f>C233*(1+Podsumowanie!E$11)</f>
        <v>4.3352699999999995</v>
      </c>
      <c r="E233" s="34">
        <f t="shared" si="374"/>
        <v>-561.950105242696</v>
      </c>
      <c r="F233" s="7">
        <f t="shared" si="375"/>
        <v>-2436.2054327555024</v>
      </c>
      <c r="G233" s="7">
        <f t="shared" si="376"/>
        <v>-1239.4292848218167</v>
      </c>
      <c r="H233" s="7">
        <f t="shared" si="377"/>
        <v>1196.7761479336857</v>
      </c>
      <c r="I233" s="32"/>
      <c r="K233" s="4">
        <f>IF(B233&lt;Podsumowanie!E$7,0,K232+1)</f>
        <v>163</v>
      </c>
      <c r="L233" s="100">
        <f t="shared" si="261"/>
        <v>-0.0077</v>
      </c>
      <c r="M233" s="38">
        <f>L233+Podsumowanie!E$6</f>
        <v>0.0043</v>
      </c>
      <c r="N233" s="101">
        <f>MAX(Podsumowanie!E$4+SUM(AA$5:AA232)-SUM(X$5:X233)+SUM(W$5:W233),0)</f>
        <v>107915.3880380763</v>
      </c>
      <c r="O233" s="102">
        <f>MAX(Podsumowanie!E$2+SUM(V$5:V232)-SUM(S$5:S233)+SUM(R$5:R233),0)</f>
        <v>238016.6690413485</v>
      </c>
      <c r="P233" s="39">
        <f t="shared" si="192"/>
        <v>360</v>
      </c>
      <c r="Q233" s="40" t="str">
        <f>IF(AND(K233&gt;0,K233&lt;=Podsumowanie!E$9),"tak","nie")</f>
        <v>nie</v>
      </c>
      <c r="R233" s="41"/>
      <c r="S233" s="42"/>
      <c r="T233" s="88">
        <f t="shared" si="378"/>
        <v>-85.28930640648322</v>
      </c>
      <c r="U233" s="89">
        <f>IF(Q233="tak",T233,IF(P233-SUM(AB$5:AB233)+1&gt;0,IF(Podsumowanie!E$7&lt;B233,IF(SUM(AB$5:AB233)-Podsumowanie!E$9+1&gt;0,PMT(M233/12,P233+1-SUM(AB$5:AB233),O233),T233),0),0))</f>
        <v>-1239.4292848218167</v>
      </c>
      <c r="V233" s="89">
        <f t="shared" si="379"/>
        <v>-1154.1399784153334</v>
      </c>
      <c r="W233" s="90" t="str">
        <f>IF(R233&gt;0,R233/(C233*(1-Podsumowanie!E$11))," ")</f>
        <v xml:space="preserve"> </v>
      </c>
      <c r="X233" s="90">
        <f t="shared" si="266"/>
        <v>0</v>
      </c>
      <c r="Y233" s="91">
        <f t="shared" si="380"/>
        <v>-38.669680713644006</v>
      </c>
      <c r="Z233" s="90">
        <f>IF(P233-SUM(AB$5:AB233)+1&gt;0,IF(Podsumowanie!E$7&lt;B233,IF(SUM(AB$5:AB233)-Podsumowanie!E$9+1&gt;0,PMT(M233/12,P233+1-SUM(AB$5:AB233),N233),Y233),0),0)</f>
        <v>-561.950105242696</v>
      </c>
      <c r="AA233" s="90">
        <f t="shared" si="381"/>
        <v>-523.2804245290521</v>
      </c>
      <c r="AB233" s="8">
        <f>IF(AND(Podsumowanie!E$7&lt;B233,SUM(AB$5:AB232)&lt;P232),1," ")</f>
        <v>1</v>
      </c>
      <c r="AD233" s="51">
        <f>IF(OR(B233&lt;Podsumowanie!E$12,Podsumowanie!E$12=""),-F233+S233,0)</f>
        <v>0</v>
      </c>
      <c r="AE233" s="51">
        <f t="shared" si="267"/>
        <v>561.950105242696</v>
      </c>
      <c r="AG233" s="10">
        <f>Podsumowanie!E$4-SUM(AI$5:AI232)+SUM(W$42:W233)-SUM(X$42:X233)</f>
        <v>100024.6481355524</v>
      </c>
      <c r="AH233" s="10">
        <f t="shared" si="382"/>
        <v>35.84</v>
      </c>
      <c r="AI233" s="10">
        <f t="shared" si="383"/>
        <v>505.17</v>
      </c>
      <c r="AJ233" s="10">
        <f t="shared" si="384"/>
        <v>541.01</v>
      </c>
      <c r="AK233" s="10">
        <f t="shared" si="385"/>
        <v>2345.42</v>
      </c>
      <c r="AL233" s="10">
        <f>Podsumowanie!E$2-SUM(AN$5:AN232)+SUM(R$42:R233)-SUM(S$42:S233)</f>
        <v>220612.58999999976</v>
      </c>
      <c r="AM233" s="10">
        <f t="shared" si="386"/>
        <v>79.05</v>
      </c>
      <c r="AN233" s="10">
        <f t="shared" si="387"/>
        <v>1114.21</v>
      </c>
      <c r="AO233" s="10">
        <f t="shared" si="388"/>
        <v>1193.26</v>
      </c>
      <c r="AP233" s="10">
        <f t="shared" si="389"/>
        <v>1152.16</v>
      </c>
      <c r="AR233" s="43">
        <f t="shared" si="390"/>
        <v>44197</v>
      </c>
      <c r="AS233" s="11">
        <f>AS$5+SUM(AV$5:AV232)-SUM(X$5:X233)+SUM(W$5:W233)</f>
        <v>104677.92639693401</v>
      </c>
      <c r="AT233" s="10">
        <f t="shared" si="391"/>
        <v>-37.509590292234684</v>
      </c>
      <c r="AU233" s="10">
        <f>IF(AB233=1,IF(Q233="tak",AT233,PMT(M233/12,P233+1-SUM(AB$5:AB233),AS233)),0)</f>
        <v>-545.0916020854152</v>
      </c>
      <c r="AV233" s="10">
        <f t="shared" si="392"/>
        <v>-507.58201179318047</v>
      </c>
      <c r="AW233" s="10">
        <f t="shared" si="393"/>
        <v>-2294.2905531775123</v>
      </c>
      <c r="AY233" s="11">
        <f>AY$5+SUM(BA$5:BA232)+SUM(W$5:W232)-SUM(X$5:X232)</f>
        <v>97023.7471914857</v>
      </c>
      <c r="AZ233" s="11">
        <f t="shared" si="394"/>
        <v>-37.509590292234684</v>
      </c>
      <c r="BA233" s="11">
        <f t="shared" si="395"/>
        <v>-490.02</v>
      </c>
      <c r="BB233" s="11">
        <f t="shared" si="396"/>
        <v>-527.5295902922346</v>
      </c>
      <c r="BC233" s="11">
        <f t="shared" si="397"/>
        <v>-2220.3720455400153</v>
      </c>
      <c r="BE233" s="172">
        <f t="shared" si="262"/>
        <v>0.0021</v>
      </c>
      <c r="BF233" s="44">
        <f>BE233+Podsumowanie!$E$6</f>
        <v>0.0141</v>
      </c>
      <c r="BG233" s="11">
        <f>BG$5+SUM(BH$5:BH232)+SUM(R$5:R232)-SUM(S$5:S232)</f>
        <v>277687.94768940215</v>
      </c>
      <c r="BH233" s="10">
        <f t="shared" si="398"/>
        <v>-1239.443059045612</v>
      </c>
      <c r="BI233" s="10">
        <f t="shared" si="399"/>
        <v>-326.2833385350475</v>
      </c>
      <c r="BJ233" s="10">
        <f>IF(U233&lt;0,PMT(BF233/12,Podsumowanie!E$8-SUM(AB$5:AB233)+1,BG233),0)</f>
        <v>-1565.7263975806595</v>
      </c>
      <c r="BL233" s="11">
        <f>BL$5+SUM(BN$5:BN232)+SUM(R$5:R232)-SUM(S$5:S232)</f>
        <v>220612.81337047377</v>
      </c>
      <c r="BM233" s="11">
        <f t="shared" si="216"/>
        <v>-259.22005571030667</v>
      </c>
      <c r="BN233" s="11">
        <f t="shared" si="217"/>
        <v>-1114.206128133706</v>
      </c>
      <c r="BO233" s="11">
        <f aca="true" t="shared" si="400" ref="BO233:BO239">BN233+BM233</f>
        <v>-1373.4261838440127</v>
      </c>
      <c r="BQ233" s="44">
        <f t="shared" si="263"/>
        <v>0.014199999999999999</v>
      </c>
      <c r="BR233" s="11">
        <f>BR$5+SUM(BS$5:BS232)+SUM(R$5:R232)-SUM(S$5:S232)+SUM(BV$5:BV232)</f>
        <v>274398.6790568614</v>
      </c>
      <c r="BS233" s="10">
        <f t="shared" si="273"/>
        <v>-1223.7132126991269</v>
      </c>
      <c r="BT233" s="10">
        <f t="shared" si="274"/>
        <v>-324.7051035506193</v>
      </c>
      <c r="BU233" s="10">
        <f>IF(U233&lt;0,PMT(BQ233/12,Podsumowanie!E$8-SUM(AB$5:AB233)+1,BR233),0)</f>
        <v>-1548.418316249746</v>
      </c>
      <c r="BV233" s="10">
        <f t="shared" si="268"/>
        <v>-887.7871165057563</v>
      </c>
      <c r="BX233" s="11">
        <f>BX$5+SUM(BZ$5:BZ232)+SUM(R$5:R232)-SUM(S$5:S232)+SUM(CB$5,CB232)</f>
        <v>219625.19855273227</v>
      </c>
      <c r="BY233" s="10">
        <f t="shared" si="264"/>
        <v>-259.8898182873998</v>
      </c>
      <c r="BZ233" s="10">
        <f t="shared" si="265"/>
        <v>-1109.218174508749</v>
      </c>
      <c r="CA233" s="10">
        <f t="shared" si="275"/>
        <v>-1369.1079927961487</v>
      </c>
      <c r="CB233" s="10">
        <f t="shared" si="276"/>
        <v>-1067.0974399593538</v>
      </c>
      <c r="CD233" s="10">
        <f>CD$5+SUM(CE$5:CE232)+SUM(R$5:R232)-SUM(S$5:S232)-SUM(CF$5:CF232)</f>
        <v>243381.47302139056</v>
      </c>
      <c r="CE233" s="10">
        <f t="shared" si="269"/>
        <v>259.8898182873998</v>
      </c>
      <c r="CF233" s="10">
        <f t="shared" si="270"/>
        <v>2436.2054327555024</v>
      </c>
      <c r="CG233" s="10">
        <f t="shared" si="271"/>
        <v>2176.3156144681025</v>
      </c>
      <c r="CI233" s="44">
        <v>0.3466</v>
      </c>
      <c r="CJ233" s="10">
        <f t="shared" si="272"/>
        <v>-844.39</v>
      </c>
      <c r="CK233" s="4">
        <f t="shared" si="277"/>
        <v>0</v>
      </c>
      <c r="CM233" s="10">
        <f t="shared" si="278"/>
        <v>-348212.5114685045</v>
      </c>
      <c r="CN233" s="4">
        <f t="shared" si="279"/>
        <v>-60.93718950698828</v>
      </c>
    </row>
    <row r="234" spans="1:92" ht="15.75">
      <c r="A234" s="36"/>
      <c r="B234" s="37">
        <v>44228</v>
      </c>
      <c r="C234" s="77">
        <f t="shared" si="260"/>
        <v>4.1442</v>
      </c>
      <c r="D234" s="79">
        <f>C234*(1+Podsumowanie!E$11)</f>
        <v>4.268526</v>
      </c>
      <c r="E234" s="34">
        <f t="shared" si="374"/>
        <v>-561.950105242696</v>
      </c>
      <c r="F234" s="7">
        <f t="shared" si="375"/>
        <v>-2398.698634931184</v>
      </c>
      <c r="G234" s="7">
        <f t="shared" si="376"/>
        <v>-1239.4292848218167</v>
      </c>
      <c r="H234" s="7">
        <f t="shared" si="377"/>
        <v>1159.2693501093675</v>
      </c>
      <c r="I234" s="32"/>
      <c r="K234" s="4">
        <f>IF(B234&lt;Podsumowanie!E$7,0,K233+1)</f>
        <v>164</v>
      </c>
      <c r="L234" s="100">
        <f t="shared" si="261"/>
        <v>-0.0077</v>
      </c>
      <c r="M234" s="38">
        <f>L234+Podsumowanie!E$6</f>
        <v>0.0043</v>
      </c>
      <c r="N234" s="101">
        <f>MAX(Podsumowanie!E$4+SUM(AA$5:AA233)-SUM(X$5:X234)+SUM(W$5:W234),0)</f>
        <v>107392.10761354725</v>
      </c>
      <c r="O234" s="102">
        <f>MAX(Podsumowanie!E$2+SUM(V$5:V233)-SUM(S$5:S234)+SUM(R$5:R234),0)</f>
        <v>236862.52906293317</v>
      </c>
      <c r="P234" s="39">
        <f t="shared" si="192"/>
        <v>360</v>
      </c>
      <c r="Q234" s="40" t="str">
        <f>IF(AND(K234&gt;0,K234&lt;=Podsumowanie!E$9),"tak","nie")</f>
        <v>nie</v>
      </c>
      <c r="R234" s="41"/>
      <c r="S234" s="42"/>
      <c r="T234" s="88">
        <f t="shared" si="378"/>
        <v>-84.87573958088439</v>
      </c>
      <c r="U234" s="89">
        <f>IF(Q234="tak",T234,IF(P234-SUM(AB$5:AB234)+1&gt;0,IF(Podsumowanie!E$7&lt;B234,IF(SUM(AB$5:AB234)-Podsumowanie!E$9+1&gt;0,PMT(M234/12,P234+1-SUM(AB$5:AB234),O234),T234),0),0))</f>
        <v>-1239.4292848218167</v>
      </c>
      <c r="V234" s="89">
        <f t="shared" si="379"/>
        <v>-1154.5535452409324</v>
      </c>
      <c r="W234" s="90" t="str">
        <f>IF(R234&gt;0,R234/(C234*(1-Podsumowanie!E$11))," ")</f>
        <v xml:space="preserve"> </v>
      </c>
      <c r="X234" s="90">
        <f t="shared" si="266"/>
        <v>0</v>
      </c>
      <c r="Y234" s="91">
        <f t="shared" si="380"/>
        <v>-38.48217189485443</v>
      </c>
      <c r="Z234" s="90">
        <f>IF(P234-SUM(AB$5:AB234)+1&gt;0,IF(Podsumowanie!E$7&lt;B234,IF(SUM(AB$5:AB234)-Podsumowanie!E$9+1&gt;0,PMT(M234/12,P234+1-SUM(AB$5:AB234),N234),Y234),0),0)</f>
        <v>-561.950105242696</v>
      </c>
      <c r="AA234" s="90">
        <f t="shared" si="381"/>
        <v>-523.4679333478416</v>
      </c>
      <c r="AB234" s="8">
        <f>IF(AND(Podsumowanie!E$7&lt;B234,SUM(AB$5:AB233)&lt;P233),1," ")</f>
        <v>1</v>
      </c>
      <c r="AD234" s="51">
        <f>IF(OR(B234&lt;Podsumowanie!E$12,Podsumowanie!E$12=""),-F234+S234,0)</f>
        <v>0</v>
      </c>
      <c r="AE234" s="51">
        <f t="shared" si="267"/>
        <v>561.950105242696</v>
      </c>
      <c r="AG234" s="10">
        <f>Podsumowanie!E$4-SUM(AI$5:AI233)+SUM(W$42:W234)-SUM(X$42:X234)</f>
        <v>99519.4781355524</v>
      </c>
      <c r="AH234" s="10">
        <f t="shared" si="382"/>
        <v>35.66</v>
      </c>
      <c r="AI234" s="10">
        <f t="shared" si="383"/>
        <v>505.18</v>
      </c>
      <c r="AJ234" s="10">
        <f t="shared" si="384"/>
        <v>540.84</v>
      </c>
      <c r="AK234" s="10">
        <f t="shared" si="385"/>
        <v>2308.59</v>
      </c>
      <c r="AL234" s="10">
        <f>Podsumowanie!E$2-SUM(AN$5:AN233)+SUM(R$42:R234)-SUM(S$42:S234)</f>
        <v>219498.37999999977</v>
      </c>
      <c r="AM234" s="10">
        <f t="shared" si="386"/>
        <v>78.65</v>
      </c>
      <c r="AN234" s="10">
        <f t="shared" si="387"/>
        <v>1114.2</v>
      </c>
      <c r="AO234" s="10">
        <f t="shared" si="388"/>
        <v>1192.8500000000001</v>
      </c>
      <c r="AP234" s="10">
        <f t="shared" si="389"/>
        <v>1115.74</v>
      </c>
      <c r="AR234" s="43">
        <f t="shared" si="390"/>
        <v>44228</v>
      </c>
      <c r="AS234" s="11">
        <f>AS$5+SUM(AV$5:AV233)-SUM(X$5:X234)+SUM(W$5:W234)</f>
        <v>104170.34438514082</v>
      </c>
      <c r="AT234" s="10">
        <f t="shared" si="391"/>
        <v>-37.32770673800879</v>
      </c>
      <c r="AU234" s="10">
        <f>IF(AB234=1,IF(Q234="tak",AT234,PMT(M234/12,P234+1-SUM(AB$5:AB234),AS234)),0)</f>
        <v>-545.0916020854152</v>
      </c>
      <c r="AV234" s="10">
        <f t="shared" si="392"/>
        <v>-507.7638953474064</v>
      </c>
      <c r="AW234" s="10">
        <f t="shared" si="393"/>
        <v>-2258.9686173623772</v>
      </c>
      <c r="AY234" s="11">
        <f>AY$5+SUM(BA$5:BA233)+SUM(W$5:W233)-SUM(X$5:X233)</f>
        <v>96533.7271914857</v>
      </c>
      <c r="AZ234" s="11">
        <f t="shared" si="394"/>
        <v>-37.32770673800879</v>
      </c>
      <c r="BA234" s="11">
        <f t="shared" si="395"/>
        <v>-490.02</v>
      </c>
      <c r="BB234" s="11">
        <f t="shared" si="396"/>
        <v>-527.3477067380088</v>
      </c>
      <c r="BC234" s="11">
        <f t="shared" si="397"/>
        <v>-2185.434366263656</v>
      </c>
      <c r="BE234" s="172">
        <f t="shared" si="262"/>
        <v>0.0021</v>
      </c>
      <c r="BF234" s="44">
        <f>BE234+Podsumowanie!$E$6</f>
        <v>0.0141</v>
      </c>
      <c r="BG234" s="11">
        <f>BG$5+SUM(BH$5:BH233)+SUM(R$5:R233)-SUM(S$5:S233)</f>
        <v>276448.50463035656</v>
      </c>
      <c r="BH234" s="10">
        <f t="shared" si="398"/>
        <v>-1240.8994046399905</v>
      </c>
      <c r="BI234" s="10">
        <f t="shared" si="399"/>
        <v>-324.82699294066896</v>
      </c>
      <c r="BJ234" s="10">
        <f>IF(U234&lt;0,PMT(BF234/12,Podsumowanie!E$8-SUM(AB$5:AB234)+1,BG234),0)</f>
        <v>-1565.7263975806595</v>
      </c>
      <c r="BL234" s="11">
        <f>BL$5+SUM(BN$5:BN233)+SUM(R$5:R233)-SUM(S$5:S233)</f>
        <v>219498.60724234008</v>
      </c>
      <c r="BM234" s="11">
        <f t="shared" si="216"/>
        <v>-257.9108635097496</v>
      </c>
      <c r="BN234" s="11">
        <f t="shared" si="217"/>
        <v>-1114.206128133706</v>
      </c>
      <c r="BO234" s="11">
        <f t="shared" si="400"/>
        <v>-1372.1169916434555</v>
      </c>
      <c r="BQ234" s="44">
        <f t="shared" si="263"/>
        <v>0.014199999999999999</v>
      </c>
      <c r="BR234" s="11">
        <f>BR$5+SUM(BS$5:BS233)+SUM(R$5:R233)-SUM(S$5:S233)+SUM(BV$5:BV233)</f>
        <v>272287.17872765654</v>
      </c>
      <c r="BS234" s="10">
        <f t="shared" si="273"/>
        <v>-1221.1796405708935</v>
      </c>
      <c r="BT234" s="10">
        <f t="shared" si="274"/>
        <v>-322.2064948277269</v>
      </c>
      <c r="BU234" s="10">
        <f>IF(U234&lt;0,PMT(BQ234/12,Podsumowanie!E$8-SUM(AB$5:AB234)+1,BR234),0)</f>
        <v>-1543.3861353986204</v>
      </c>
      <c r="BV234" s="10">
        <f t="shared" si="268"/>
        <v>-855.3124995325638</v>
      </c>
      <c r="BX234" s="11">
        <f>BX$5+SUM(BZ$5:BZ233)+SUM(R$5:R233)-SUM(S$5:S233)+SUM(CB$5,CB233)</f>
        <v>218473.87184076896</v>
      </c>
      <c r="BY234" s="10">
        <f t="shared" si="264"/>
        <v>-258.5274150115766</v>
      </c>
      <c r="BZ234" s="10">
        <f t="shared" si="265"/>
        <v>-1109.0044255876596</v>
      </c>
      <c r="CA234" s="10">
        <f t="shared" si="275"/>
        <v>-1367.5318405992361</v>
      </c>
      <c r="CB234" s="10">
        <f t="shared" si="276"/>
        <v>-1031.166794331948</v>
      </c>
      <c r="CD234" s="10">
        <f>CD$5+SUM(CE$5:CE233)+SUM(R$5:R233)-SUM(S$5:S233)-SUM(CF$5:CF233)</f>
        <v>241205.1574069225</v>
      </c>
      <c r="CE234" s="10">
        <f t="shared" si="269"/>
        <v>258.5274150115766</v>
      </c>
      <c r="CF234" s="10">
        <f t="shared" si="270"/>
        <v>2398.698634931184</v>
      </c>
      <c r="CG234" s="10">
        <f t="shared" si="271"/>
        <v>2140.1712199196077</v>
      </c>
      <c r="CI234" s="44">
        <v>0.3293</v>
      </c>
      <c r="CJ234" s="10">
        <f t="shared" si="272"/>
        <v>-789.89</v>
      </c>
      <c r="CK234" s="4">
        <f t="shared" si="277"/>
        <v>0</v>
      </c>
      <c r="CM234" s="10">
        <f t="shared" si="278"/>
        <v>-350611.2101034357</v>
      </c>
      <c r="CN234" s="4">
        <f t="shared" si="279"/>
        <v>-61.356961768101236</v>
      </c>
    </row>
    <row r="235" spans="1:92" ht="15.75">
      <c r="A235" s="36"/>
      <c r="B235" s="37">
        <v>44256</v>
      </c>
      <c r="C235" s="77">
        <f t="shared" si="260"/>
        <v>4.1573</v>
      </c>
      <c r="D235" s="79">
        <f>C235*(1+Podsumowanie!E$11)</f>
        <v>4.282019</v>
      </c>
      <c r="E235" s="34">
        <f t="shared" si="374"/>
        <v>-561.9501052426962</v>
      </c>
      <c r="F235" s="7">
        <f t="shared" si="375"/>
        <v>-2406.2810277012245</v>
      </c>
      <c r="G235" s="7">
        <f t="shared" si="376"/>
        <v>-1239.429284821817</v>
      </c>
      <c r="H235" s="7">
        <f t="shared" si="377"/>
        <v>1166.8517428794075</v>
      </c>
      <c r="I235" s="32"/>
      <c r="K235" s="4">
        <f>IF(B235&lt;Podsumowanie!E$7,0,K234+1)</f>
        <v>165</v>
      </c>
      <c r="L235" s="100">
        <f t="shared" si="261"/>
        <v>-0.0077</v>
      </c>
      <c r="M235" s="38">
        <f>L235+Podsumowanie!E$6</f>
        <v>0.0043</v>
      </c>
      <c r="N235" s="101">
        <f>MAX(Podsumowanie!E$4+SUM(AA$5:AA234)-SUM(X$5:X235)+SUM(W$5:W235),0)</f>
        <v>106868.63968019941</v>
      </c>
      <c r="O235" s="102">
        <f>MAX(Podsumowanie!E$2+SUM(V$5:V234)-SUM(S$5:S235)+SUM(R$5:R235),0)</f>
        <v>235707.97551769225</v>
      </c>
      <c r="P235" s="39">
        <f aca="true" t="shared" si="401" ref="P235:P272">P234</f>
        <v>360</v>
      </c>
      <c r="Q235" s="40" t="str">
        <f>IF(AND(K235&gt;0,K235&lt;=Podsumowanie!E$9),"tak","nie")</f>
        <v>nie</v>
      </c>
      <c r="R235" s="41"/>
      <c r="S235" s="42"/>
      <c r="T235" s="88">
        <f t="shared" si="378"/>
        <v>-84.46202456050639</v>
      </c>
      <c r="U235" s="89">
        <f>IF(Q235="tak",T235,IF(P235-SUM(AB$5:AB235)+1&gt;0,IF(Podsumowanie!E$7&lt;B235,IF(SUM(AB$5:AB235)-Podsumowanie!E$9+1&gt;0,PMT(M235/12,P235+1-SUM(AB$5:AB235),O235),T235),0),0))</f>
        <v>-1239.429284821817</v>
      </c>
      <c r="V235" s="89">
        <f t="shared" si="379"/>
        <v>-1154.9672602613105</v>
      </c>
      <c r="W235" s="90" t="str">
        <f>IF(R235&gt;0,R235/(C235*(1-Podsumowanie!E$11))," ")</f>
        <v xml:space="preserve"> </v>
      </c>
      <c r="X235" s="90">
        <f t="shared" si="266"/>
        <v>0</v>
      </c>
      <c r="Y235" s="91">
        <f t="shared" si="380"/>
        <v>-38.29459588540479</v>
      </c>
      <c r="Z235" s="90">
        <f>IF(P235-SUM(AB$5:AB235)+1&gt;0,IF(Podsumowanie!E$7&lt;B235,IF(SUM(AB$5:AB235)-Podsumowanie!E$9+1&gt;0,PMT(M235/12,P235+1-SUM(AB$5:AB235),N235),Y235),0),0)</f>
        <v>-561.9501052426962</v>
      </c>
      <c r="AA235" s="90">
        <f t="shared" si="381"/>
        <v>-523.6555093572914</v>
      </c>
      <c r="AB235" s="8">
        <f>IF(AND(Podsumowanie!E$7&lt;B235,SUM(AB$5:AB234)&lt;P234),1," ")</f>
        <v>1</v>
      </c>
      <c r="AD235" s="51">
        <f>IF(OR(B235&lt;Podsumowanie!E$12,Podsumowanie!E$12=""),-F235+S235,0)</f>
        <v>0</v>
      </c>
      <c r="AE235" s="51">
        <f t="shared" si="267"/>
        <v>561.9501052426962</v>
      </c>
      <c r="AG235" s="10">
        <f>Podsumowanie!E$4-SUM(AI$5:AI234)+SUM(W$42:W235)-SUM(X$42:X235)</f>
        <v>99014.29813555241</v>
      </c>
      <c r="AH235" s="10">
        <f t="shared" si="382"/>
        <v>35.48</v>
      </c>
      <c r="AI235" s="10">
        <f t="shared" si="383"/>
        <v>505.17</v>
      </c>
      <c r="AJ235" s="10">
        <f t="shared" si="384"/>
        <v>540.65</v>
      </c>
      <c r="AK235" s="10">
        <f t="shared" si="385"/>
        <v>2315.07</v>
      </c>
      <c r="AL235" s="10">
        <f>Podsumowanie!E$2-SUM(AN$5:AN234)+SUM(R$42:R235)-SUM(S$42:S235)</f>
        <v>218384.17999999976</v>
      </c>
      <c r="AM235" s="10">
        <f t="shared" si="386"/>
        <v>78.25</v>
      </c>
      <c r="AN235" s="10">
        <f t="shared" si="387"/>
        <v>1114.21</v>
      </c>
      <c r="AO235" s="10">
        <f t="shared" si="388"/>
        <v>1192.46</v>
      </c>
      <c r="AP235" s="10">
        <f t="shared" si="389"/>
        <v>1122.6100000000001</v>
      </c>
      <c r="AR235" s="43">
        <f t="shared" si="390"/>
        <v>44256</v>
      </c>
      <c r="AS235" s="11">
        <f>AS$5+SUM(AV$5:AV234)-SUM(X$5:X235)+SUM(W$5:W235)</f>
        <v>103662.58048979341</v>
      </c>
      <c r="AT235" s="10">
        <f t="shared" si="391"/>
        <v>-37.14575800884264</v>
      </c>
      <c r="AU235" s="10">
        <f>IF(AB235=1,IF(Q235="tak",AT235,PMT(M235/12,P235+1-SUM(AB$5:AB235),AS235)),0)</f>
        <v>-545.0916020854152</v>
      </c>
      <c r="AV235" s="10">
        <f t="shared" si="392"/>
        <v>-507.94584407657254</v>
      </c>
      <c r="AW235" s="10">
        <f t="shared" si="393"/>
        <v>-2266.1093173496965</v>
      </c>
      <c r="AY235" s="11">
        <f>AY$5+SUM(BA$5:BA234)+SUM(W$5:W234)-SUM(X$5:X234)</f>
        <v>96043.7071914857</v>
      </c>
      <c r="AZ235" s="11">
        <f t="shared" si="394"/>
        <v>-37.14575800884264</v>
      </c>
      <c r="BA235" s="11">
        <f t="shared" si="395"/>
        <v>-490.02</v>
      </c>
      <c r="BB235" s="11">
        <f t="shared" si="396"/>
        <v>-527.1657580088427</v>
      </c>
      <c r="BC235" s="11">
        <f t="shared" si="397"/>
        <v>-2191.5862057701615</v>
      </c>
      <c r="BE235" s="172">
        <f t="shared" si="262"/>
        <v>0.0021</v>
      </c>
      <c r="BF235" s="44">
        <f>BE235+Podsumowanie!$E$6</f>
        <v>0.0141</v>
      </c>
      <c r="BG235" s="11">
        <f>BG$5+SUM(BH$5:BH234)+SUM(R$5:R234)-SUM(S$5:S234)</f>
        <v>275207.6052257166</v>
      </c>
      <c r="BH235" s="10">
        <f t="shared" si="398"/>
        <v>-1242.3574614404429</v>
      </c>
      <c r="BI235" s="10">
        <f t="shared" si="399"/>
        <v>-323.368936140217</v>
      </c>
      <c r="BJ235" s="10">
        <f>IF(U235&lt;0,PMT(BF235/12,Podsumowanie!E$8-SUM(AB$5:AB235)+1,BG235),0)</f>
        <v>-1565.7263975806598</v>
      </c>
      <c r="BL235" s="11">
        <f>BL$5+SUM(BN$5:BN234)+SUM(R$5:R234)-SUM(S$5:S234)</f>
        <v>218384.40111420638</v>
      </c>
      <c r="BM235" s="11">
        <f t="shared" si="216"/>
        <v>-256.6016713091925</v>
      </c>
      <c r="BN235" s="11">
        <f t="shared" si="217"/>
        <v>-1114.206128133706</v>
      </c>
      <c r="BO235" s="11">
        <f t="shared" si="400"/>
        <v>-1370.8077994428986</v>
      </c>
      <c r="BQ235" s="44">
        <f t="shared" si="263"/>
        <v>0.014199999999999999</v>
      </c>
      <c r="BR235" s="11">
        <f>BR$5+SUM(BS$5:BS234)+SUM(R$5:R234)-SUM(S$5:S234)+SUM(BV$5:BV234)</f>
        <v>270210.6865875531</v>
      </c>
      <c r="BS235" s="10">
        <f t="shared" si="273"/>
        <v>-1218.7668744456969</v>
      </c>
      <c r="BT235" s="10">
        <f t="shared" si="274"/>
        <v>-319.74931246193785</v>
      </c>
      <c r="BU235" s="10">
        <f>IF(U235&lt;0,PMT(BQ235/12,Podsumowanie!E$8-SUM(AB$5:AB235)+1,BR235),0)</f>
        <v>-1538.5161869076348</v>
      </c>
      <c r="BV235" s="10">
        <f t="shared" si="268"/>
        <v>-867.7648407935897</v>
      </c>
      <c r="BX235" s="11">
        <f>BX$5+SUM(BZ$5:BZ234)+SUM(R$5:R234)-SUM(S$5:S234)+SUM(CB$5,CB234)</f>
        <v>217400.7980608087</v>
      </c>
      <c r="BY235" s="10">
        <f t="shared" si="264"/>
        <v>-257.2576110386236</v>
      </c>
      <c r="BZ235" s="10">
        <f t="shared" si="265"/>
        <v>-1109.1877452082076</v>
      </c>
      <c r="CA235" s="10">
        <f t="shared" si="275"/>
        <v>-1366.4453562468311</v>
      </c>
      <c r="CB235" s="10">
        <f t="shared" si="276"/>
        <v>-1039.8356714543934</v>
      </c>
      <c r="CD235" s="10">
        <f>CD$5+SUM(CE$5:CE234)+SUM(R$5:R234)-SUM(S$5:S234)-SUM(CF$5:CF234)</f>
        <v>239064.98618700285</v>
      </c>
      <c r="CE235" s="10">
        <f t="shared" si="269"/>
        <v>257.2576110386236</v>
      </c>
      <c r="CF235" s="10">
        <f t="shared" si="270"/>
        <v>2406.2810277012245</v>
      </c>
      <c r="CG235" s="10">
        <f t="shared" si="271"/>
        <v>2149.023416662601</v>
      </c>
      <c r="CI235" s="44">
        <v>0.3227</v>
      </c>
      <c r="CJ235" s="10">
        <f t="shared" si="272"/>
        <v>-776.51</v>
      </c>
      <c r="CK235" s="4">
        <f t="shared" si="277"/>
        <v>0</v>
      </c>
      <c r="CM235" s="10">
        <f t="shared" si="278"/>
        <v>-353017.4911311369</v>
      </c>
      <c r="CN235" s="4">
        <f t="shared" si="279"/>
        <v>-61.77806094794895</v>
      </c>
    </row>
    <row r="236" spans="1:92" ht="15.75">
      <c r="A236" s="36"/>
      <c r="B236" s="37">
        <v>44287</v>
      </c>
      <c r="C236" s="77">
        <f t="shared" si="260"/>
        <v>4.1366</v>
      </c>
      <c r="D236" s="79">
        <f>C236*(1+Podsumowanie!E$11)</f>
        <v>4.260698</v>
      </c>
      <c r="E236" s="34">
        <f t="shared" si="374"/>
        <v>-561.950105242696</v>
      </c>
      <c r="F236" s="7">
        <f t="shared" si="375"/>
        <v>-2394.2996895073443</v>
      </c>
      <c r="G236" s="7">
        <f t="shared" si="376"/>
        <v>-1239.4292848218167</v>
      </c>
      <c r="H236" s="7">
        <f t="shared" si="377"/>
        <v>1154.8704046855275</v>
      </c>
      <c r="I236" s="32"/>
      <c r="K236" s="4">
        <f>IF(B236&lt;Podsumowanie!E$7,0,K235+1)</f>
        <v>166</v>
      </c>
      <c r="L236" s="100">
        <f t="shared" si="261"/>
        <v>-0.0077</v>
      </c>
      <c r="M236" s="38">
        <f>L236+Podsumowanie!E$6</f>
        <v>0.0043</v>
      </c>
      <c r="N236" s="101">
        <f>MAX(Podsumowanie!E$4+SUM(AA$5:AA235)-SUM(X$5:X236)+SUM(W$5:W236),0)</f>
        <v>106344.98417084212</v>
      </c>
      <c r="O236" s="102">
        <f>MAX(Podsumowanie!E$2+SUM(V$5:V235)-SUM(S$5:S236)+SUM(R$5:R236),0)</f>
        <v>234553.00825743095</v>
      </c>
      <c r="P236" s="39">
        <f t="shared" si="401"/>
        <v>360</v>
      </c>
      <c r="Q236" s="40" t="str">
        <f>IF(AND(K236&gt;0,K236&lt;=Podsumowanie!E$9),"tak","nie")</f>
        <v>nie</v>
      </c>
      <c r="R236" s="41"/>
      <c r="S236" s="42"/>
      <c r="T236" s="88">
        <f t="shared" si="378"/>
        <v>-84.04816129224609</v>
      </c>
      <c r="U236" s="89">
        <f>IF(Q236="tak",T236,IF(P236-SUM(AB$5:AB236)+1&gt;0,IF(Podsumowanie!E$7&lt;B236,IF(SUM(AB$5:AB236)-Podsumowanie!E$9+1&gt;0,PMT(M236/12,P236+1-SUM(AB$5:AB236),O236),T236),0),0))</f>
        <v>-1239.4292848218167</v>
      </c>
      <c r="V236" s="89">
        <f t="shared" si="379"/>
        <v>-1155.3811235295707</v>
      </c>
      <c r="W236" s="90" t="str">
        <f>IF(R236&gt;0,R236/(C236*(1-Podsumowanie!E$11))," ")</f>
        <v xml:space="preserve"> </v>
      </c>
      <c r="X236" s="90">
        <f t="shared" si="266"/>
        <v>0</v>
      </c>
      <c r="Y236" s="91">
        <f t="shared" si="380"/>
        <v>-38.10695266121842</v>
      </c>
      <c r="Z236" s="90">
        <f>IF(P236-SUM(AB$5:AB236)+1&gt;0,IF(Podsumowanie!E$7&lt;B236,IF(SUM(AB$5:AB236)-Podsumowanie!E$9+1&gt;0,PMT(M236/12,P236+1-SUM(AB$5:AB236),N236),Y236),0),0)</f>
        <v>-561.950105242696</v>
      </c>
      <c r="AA236" s="90">
        <f t="shared" si="381"/>
        <v>-523.8431525814776</v>
      </c>
      <c r="AB236" s="8">
        <f>IF(AND(Podsumowanie!E$7&lt;B236,SUM(AB$5:AB235)&lt;P235),1," ")</f>
        <v>1</v>
      </c>
      <c r="AD236" s="51">
        <f>IF(OR(B236&lt;Podsumowanie!E$12,Podsumowanie!E$12=""),-F236+S236,0)</f>
        <v>0</v>
      </c>
      <c r="AE236" s="51">
        <f t="shared" si="267"/>
        <v>561.950105242696</v>
      </c>
      <c r="AG236" s="10">
        <f>Podsumowanie!E$4-SUM(AI$5:AI235)+SUM(W$42:W236)-SUM(X$42:X236)</f>
        <v>98509.12813555241</v>
      </c>
      <c r="AH236" s="10">
        <f t="shared" si="382"/>
        <v>35.3</v>
      </c>
      <c r="AI236" s="10">
        <f t="shared" si="383"/>
        <v>505.18</v>
      </c>
      <c r="AJ236" s="10">
        <f t="shared" si="384"/>
        <v>540.48</v>
      </c>
      <c r="AK236" s="10">
        <f t="shared" si="385"/>
        <v>2302.82</v>
      </c>
      <c r="AL236" s="10">
        <f>Podsumowanie!E$2-SUM(AN$5:AN235)+SUM(R$42:R236)-SUM(S$42:S236)</f>
        <v>217269.96999999977</v>
      </c>
      <c r="AM236" s="10">
        <f t="shared" si="386"/>
        <v>77.86</v>
      </c>
      <c r="AN236" s="10">
        <f t="shared" si="387"/>
        <v>1114.2</v>
      </c>
      <c r="AO236" s="10">
        <f t="shared" si="388"/>
        <v>1192.06</v>
      </c>
      <c r="AP236" s="10">
        <f t="shared" si="389"/>
        <v>1110.7600000000002</v>
      </c>
      <c r="AR236" s="43">
        <f t="shared" si="390"/>
        <v>44287</v>
      </c>
      <c r="AS236" s="11">
        <f>AS$5+SUM(AV$5:AV235)-SUM(X$5:X236)+SUM(W$5:W236)</f>
        <v>103154.63464571684</v>
      </c>
      <c r="AT236" s="10">
        <f t="shared" si="391"/>
        <v>-36.96374408138187</v>
      </c>
      <c r="AU236" s="10">
        <f>IF(AB236=1,IF(Q236="tak",AT236,PMT(M236/12,P236+1-SUM(AB$5:AB236),AS236)),0)</f>
        <v>-545.091602085415</v>
      </c>
      <c r="AV236" s="10">
        <f t="shared" si="392"/>
        <v>-508.12785800403316</v>
      </c>
      <c r="AW236" s="10">
        <f t="shared" si="393"/>
        <v>-2254.8259211865275</v>
      </c>
      <c r="AY236" s="11">
        <f>AY$5+SUM(BA$5:BA235)+SUM(W$5:W235)-SUM(X$5:X235)</f>
        <v>95553.68719148569</v>
      </c>
      <c r="AZ236" s="11">
        <f t="shared" si="394"/>
        <v>-36.96374408138187</v>
      </c>
      <c r="BA236" s="11">
        <f t="shared" si="395"/>
        <v>-490.02</v>
      </c>
      <c r="BB236" s="11">
        <f t="shared" si="396"/>
        <v>-526.9837440813818</v>
      </c>
      <c r="BC236" s="11">
        <f t="shared" si="397"/>
        <v>-2179.920955767044</v>
      </c>
      <c r="BE236" s="172">
        <f t="shared" si="262"/>
        <v>0.0021</v>
      </c>
      <c r="BF236" s="44">
        <f>BE236+Podsumowanie!$E$6</f>
        <v>0.0141</v>
      </c>
      <c r="BG236" s="11">
        <f>BG$5+SUM(BH$5:BH235)+SUM(R$5:R235)-SUM(S$5:S235)</f>
        <v>273965.2477642761</v>
      </c>
      <c r="BH236" s="10">
        <f t="shared" si="398"/>
        <v>-1243.817231457635</v>
      </c>
      <c r="BI236" s="10">
        <f t="shared" si="399"/>
        <v>-321.9091661230244</v>
      </c>
      <c r="BJ236" s="10">
        <f>IF(U236&lt;0,PMT(BF236/12,Podsumowanie!E$8-SUM(AB$5:AB236)+1,BG236),0)</f>
        <v>-1565.7263975806595</v>
      </c>
      <c r="BL236" s="11">
        <f>BL$5+SUM(BN$5:BN235)+SUM(R$5:R235)-SUM(S$5:S235)</f>
        <v>217270.1949860727</v>
      </c>
      <c r="BM236" s="11">
        <f t="shared" si="216"/>
        <v>-255.29247910863538</v>
      </c>
      <c r="BN236" s="11">
        <f t="shared" si="217"/>
        <v>-1114.206128133706</v>
      </c>
      <c r="BO236" s="11">
        <f t="shared" si="400"/>
        <v>-1369.4986072423414</v>
      </c>
      <c r="BQ236" s="44">
        <f t="shared" si="263"/>
        <v>0.014199999999999999</v>
      </c>
      <c r="BR236" s="11">
        <f>BR$5+SUM(BS$5:BS235)+SUM(R$5:R235)-SUM(S$5:S235)+SUM(BV$5:BV235)</f>
        <v>268124.15487231384</v>
      </c>
      <c r="BS236" s="10">
        <f t="shared" si="273"/>
        <v>-1216.27270144247</v>
      </c>
      <c r="BT236" s="10">
        <f t="shared" si="274"/>
        <v>-317.280249932238</v>
      </c>
      <c r="BU236" s="10">
        <f>IF(U236&lt;0,PMT(BQ236/12,Podsumowanie!E$8-SUM(AB$5:AB236)+1,BR236),0)</f>
        <v>-1533.552951374708</v>
      </c>
      <c r="BV236" s="10">
        <f t="shared" si="268"/>
        <v>-860.7467381326362</v>
      </c>
      <c r="BX236" s="11">
        <f>BX$5+SUM(BZ$5:BZ235)+SUM(R$5:R235)-SUM(S$5:S235)+SUM(CB$5,CB235)</f>
        <v>216282.94143847804</v>
      </c>
      <c r="BY236" s="10">
        <f t="shared" si="264"/>
        <v>-255.93481403553233</v>
      </c>
      <c r="BZ236" s="10">
        <f t="shared" si="265"/>
        <v>-1109.1432894280924</v>
      </c>
      <c r="CA236" s="10">
        <f t="shared" si="275"/>
        <v>-1365.0781034636248</v>
      </c>
      <c r="CB236" s="10">
        <f t="shared" si="276"/>
        <v>-1029.2215860437195</v>
      </c>
      <c r="CD236" s="10">
        <f>CD$5+SUM(CE$5:CE235)+SUM(R$5:R235)-SUM(S$5:S235)-SUM(CF$5:CF235)</f>
        <v>236915.96277034027</v>
      </c>
      <c r="CE236" s="10">
        <f t="shared" si="269"/>
        <v>255.93481403553233</v>
      </c>
      <c r="CF236" s="10">
        <f t="shared" si="270"/>
        <v>2394.2996895073443</v>
      </c>
      <c r="CG236" s="10">
        <f t="shared" si="271"/>
        <v>2138.364875471812</v>
      </c>
      <c r="CI236" s="44">
        <v>0.3096</v>
      </c>
      <c r="CJ236" s="10">
        <f t="shared" si="272"/>
        <v>-741.28</v>
      </c>
      <c r="CK236" s="4">
        <f t="shared" si="277"/>
        <v>0</v>
      </c>
      <c r="CM236" s="10">
        <f t="shared" si="278"/>
        <v>-355411.79082064424</v>
      </c>
      <c r="CN236" s="4">
        <f t="shared" si="279"/>
        <v>-62.197063393612744</v>
      </c>
    </row>
    <row r="237" spans="1:92" ht="15.75">
      <c r="A237" s="36"/>
      <c r="B237" s="37">
        <v>44317</v>
      </c>
      <c r="C237" s="77">
        <f t="shared" si="260"/>
        <v>4.1305</v>
      </c>
      <c r="D237" s="79">
        <f>C237*(1+Podsumowanie!E$11)</f>
        <v>4.254415</v>
      </c>
      <c r="E237" s="34">
        <f t="shared" si="374"/>
        <v>-561.950105242696</v>
      </c>
      <c r="F237" s="7">
        <f t="shared" si="375"/>
        <v>-2390.768956996105</v>
      </c>
      <c r="G237" s="7">
        <f t="shared" si="376"/>
        <v>-1239.4292848218167</v>
      </c>
      <c r="H237" s="7">
        <f t="shared" si="377"/>
        <v>1151.3396721742881</v>
      </c>
      <c r="I237" s="32"/>
      <c r="K237" s="4">
        <f>IF(B237&lt;Podsumowanie!E$7,0,K236+1)</f>
        <v>167</v>
      </c>
      <c r="L237" s="100">
        <f t="shared" si="261"/>
        <v>-0.0077</v>
      </c>
      <c r="M237" s="38">
        <f>L237+Podsumowanie!E$6</f>
        <v>0.0043</v>
      </c>
      <c r="N237" s="101">
        <f>MAX(Podsumowanie!E$4+SUM(AA$5:AA236)-SUM(X$5:X237)+SUM(W$5:W237),0)</f>
        <v>105821.14101826063</v>
      </c>
      <c r="O237" s="102">
        <f>MAX(Podsumowanie!E$2+SUM(V$5:V236)-SUM(S$5:S237)+SUM(R$5:R237),0)</f>
        <v>233397.62713390138</v>
      </c>
      <c r="P237" s="39">
        <f t="shared" si="401"/>
        <v>360</v>
      </c>
      <c r="Q237" s="40" t="str">
        <f>IF(AND(K237&gt;0,K237&lt;=Podsumowanie!E$9),"tak","nie")</f>
        <v>nie</v>
      </c>
      <c r="R237" s="41"/>
      <c r="S237" s="42"/>
      <c r="T237" s="88">
        <f t="shared" si="378"/>
        <v>-83.63414972298132</v>
      </c>
      <c r="U237" s="89">
        <f>IF(Q237="tak",T237,IF(P237-SUM(AB$5:AB237)+1&gt;0,IF(Podsumowanie!E$7&lt;B237,IF(SUM(AB$5:AB237)-Podsumowanie!E$9+1&gt;0,PMT(M237/12,P237+1-SUM(AB$5:AB237),O237),T237),0),0))</f>
        <v>-1239.4292848218167</v>
      </c>
      <c r="V237" s="89">
        <f t="shared" si="379"/>
        <v>-1155.7951350988353</v>
      </c>
      <c r="W237" s="90" t="str">
        <f>IF(R237&gt;0,R237/(C237*(1-Podsumowanie!E$11))," ")</f>
        <v xml:space="preserve"> </v>
      </c>
      <c r="X237" s="90">
        <f t="shared" si="266"/>
        <v>0</v>
      </c>
      <c r="Y237" s="91">
        <f t="shared" si="380"/>
        <v>-37.919242198210064</v>
      </c>
      <c r="Z237" s="90">
        <f>IF(P237-SUM(AB$5:AB237)+1&gt;0,IF(Podsumowanie!E$7&lt;B237,IF(SUM(AB$5:AB237)-Podsumowanie!E$9+1&gt;0,PMT(M237/12,P237+1-SUM(AB$5:AB237),N237),Y237),0),0)</f>
        <v>-561.950105242696</v>
      </c>
      <c r="AA237" s="90">
        <f t="shared" si="381"/>
        <v>-524.030863044486</v>
      </c>
      <c r="AB237" s="8">
        <f>IF(AND(Podsumowanie!E$7&lt;B237,SUM(AB$5:AB236)&lt;P236),1," ")</f>
        <v>1</v>
      </c>
      <c r="AD237" s="51">
        <f>IF(OR(B237&lt;Podsumowanie!E$12,Podsumowanie!E$12=""),-F237+S237,0)</f>
        <v>0</v>
      </c>
      <c r="AE237" s="51">
        <f t="shared" si="267"/>
        <v>561.950105242696</v>
      </c>
      <c r="AG237" s="10">
        <f>Podsumowanie!E$4-SUM(AI$5:AI236)+SUM(W$42:W237)-SUM(X$42:X237)</f>
        <v>98003.94813555242</v>
      </c>
      <c r="AH237" s="10">
        <f t="shared" si="382"/>
        <v>35.12</v>
      </c>
      <c r="AI237" s="10">
        <f t="shared" si="383"/>
        <v>505.17</v>
      </c>
      <c r="AJ237" s="10">
        <f t="shared" si="384"/>
        <v>540.29</v>
      </c>
      <c r="AK237" s="10">
        <f t="shared" si="385"/>
        <v>2298.62</v>
      </c>
      <c r="AL237" s="10">
        <f>Podsumowanie!E$2-SUM(AN$5:AN236)+SUM(R$42:R237)-SUM(S$42:S237)</f>
        <v>216155.76999999976</v>
      </c>
      <c r="AM237" s="10">
        <f t="shared" si="386"/>
        <v>77.46</v>
      </c>
      <c r="AN237" s="10">
        <f t="shared" si="387"/>
        <v>1114.21</v>
      </c>
      <c r="AO237" s="10">
        <f t="shared" si="388"/>
        <v>1191.67</v>
      </c>
      <c r="AP237" s="10">
        <f t="shared" si="389"/>
        <v>1106.9499999999998</v>
      </c>
      <c r="AR237" s="43">
        <f t="shared" si="390"/>
        <v>44317</v>
      </c>
      <c r="AS237" s="11">
        <f>AS$5+SUM(AV$5:AV236)-SUM(X$5:X237)+SUM(W$5:W237)</f>
        <v>102646.5067877128</v>
      </c>
      <c r="AT237" s="10">
        <f t="shared" si="391"/>
        <v>-36.78166493226376</v>
      </c>
      <c r="AU237" s="10">
        <f>IF(AB237=1,IF(Q237="tak",AT237,PMT(M237/12,P237+1-SUM(AB$5:AB237),AS237)),0)</f>
        <v>-545.091602085415</v>
      </c>
      <c r="AV237" s="10">
        <f t="shared" si="392"/>
        <v>-508.3099371531513</v>
      </c>
      <c r="AW237" s="10">
        <f t="shared" si="393"/>
        <v>-2251.5008624138068</v>
      </c>
      <c r="AY237" s="11">
        <f>AY$5+SUM(BA$5:BA236)+SUM(W$5:W236)-SUM(X$5:X236)</f>
        <v>95063.66719148569</v>
      </c>
      <c r="AZ237" s="11">
        <f t="shared" si="394"/>
        <v>-36.78166493226376</v>
      </c>
      <c r="BA237" s="11">
        <f t="shared" si="395"/>
        <v>-490.02</v>
      </c>
      <c r="BB237" s="11">
        <f t="shared" si="396"/>
        <v>-526.8016649322637</v>
      </c>
      <c r="BC237" s="11">
        <f t="shared" si="397"/>
        <v>-2175.954277002715</v>
      </c>
      <c r="BE237" s="172">
        <f t="shared" si="262"/>
        <v>0.0021</v>
      </c>
      <c r="BF237" s="44">
        <f>BE237+Podsumowanie!$E$6</f>
        <v>0.0141</v>
      </c>
      <c r="BG237" s="11">
        <f>BG$5+SUM(BH$5:BH236)+SUM(R$5:R236)-SUM(S$5:S236)</f>
        <v>272721.4305328185</v>
      </c>
      <c r="BH237" s="10">
        <f t="shared" si="398"/>
        <v>-1245.278716704598</v>
      </c>
      <c r="BI237" s="10">
        <f t="shared" si="399"/>
        <v>-320.4476808760617</v>
      </c>
      <c r="BJ237" s="10">
        <f>IF(U237&lt;0,PMT(BF237/12,Podsumowanie!E$8-SUM(AB$5:AB237)+1,BG237),0)</f>
        <v>-1565.7263975806598</v>
      </c>
      <c r="BL237" s="11">
        <f>BL$5+SUM(BN$5:BN236)+SUM(R$5:R236)-SUM(S$5:S236)</f>
        <v>216155.988857939</v>
      </c>
      <c r="BM237" s="11">
        <f t="shared" si="216"/>
        <v>-253.9832869080783</v>
      </c>
      <c r="BN237" s="11">
        <f t="shared" si="217"/>
        <v>-1114.2061281337062</v>
      </c>
      <c r="BO237" s="11">
        <f t="shared" si="400"/>
        <v>-1368.1894150417845</v>
      </c>
      <c r="BQ237" s="44">
        <f t="shared" si="263"/>
        <v>0.014199999999999999</v>
      </c>
      <c r="BR237" s="11">
        <f>BR$5+SUM(BS$5:BS236)+SUM(R$5:R236)-SUM(S$5:S236)+SUM(BV$5:BV236)</f>
        <v>266047.13543273875</v>
      </c>
      <c r="BS237" s="10">
        <f t="shared" si="273"/>
        <v>-1213.7849786704812</v>
      </c>
      <c r="BT237" s="10">
        <f t="shared" si="274"/>
        <v>-314.8224435954075</v>
      </c>
      <c r="BU237" s="10">
        <f>IF(U237&lt;0,PMT(BQ237/12,Podsumowanie!E$8-SUM(AB$5:AB237)+1,BR237),0)</f>
        <v>-1528.6074222658888</v>
      </c>
      <c r="BV237" s="10">
        <f t="shared" si="268"/>
        <v>-862.1615347302161</v>
      </c>
      <c r="BX237" s="11">
        <f>BX$5+SUM(BZ$5:BZ236)+SUM(R$5:R236)-SUM(S$5:S236)+SUM(CB$5,CB236)</f>
        <v>215184.41223446064</v>
      </c>
      <c r="BY237" s="10">
        <f t="shared" si="264"/>
        <v>-254.63488781077842</v>
      </c>
      <c r="BZ237" s="10">
        <f t="shared" si="265"/>
        <v>-1109.19800120856</v>
      </c>
      <c r="CA237" s="10">
        <f t="shared" si="275"/>
        <v>-1363.8328890193384</v>
      </c>
      <c r="CB237" s="10">
        <f t="shared" si="276"/>
        <v>-1026.9360679767665</v>
      </c>
      <c r="CD237" s="10">
        <f>CD$5+SUM(CE$5:CE236)+SUM(R$5:R236)-SUM(S$5:S236)-SUM(CF$5:CF236)</f>
        <v>234777.59789486846</v>
      </c>
      <c r="CE237" s="10">
        <f t="shared" si="269"/>
        <v>254.63488781077842</v>
      </c>
      <c r="CF237" s="10">
        <f t="shared" si="270"/>
        <v>2390.768956996105</v>
      </c>
      <c r="CG237" s="10">
        <f t="shared" si="271"/>
        <v>2136.1340691853266</v>
      </c>
      <c r="CI237" s="44">
        <v>0.2992</v>
      </c>
      <c r="CJ237" s="10">
        <f t="shared" si="272"/>
        <v>-715.32</v>
      </c>
      <c r="CK237" s="4">
        <f t="shared" si="277"/>
        <v>0</v>
      </c>
      <c r="CM237" s="10">
        <f t="shared" si="278"/>
        <v>-357802.55977764033</v>
      </c>
      <c r="CN237" s="4">
        <f t="shared" si="279"/>
        <v>-62.61544796108706</v>
      </c>
    </row>
    <row r="238" spans="1:92" ht="15.75">
      <c r="A238" s="36"/>
      <c r="B238" s="37">
        <v>44348</v>
      </c>
      <c r="C238" s="77">
        <f t="shared" si="260"/>
        <v>4.1152</v>
      </c>
      <c r="D238" s="79">
        <f>C238*(1+Podsumowanie!E$11)</f>
        <v>4.238656</v>
      </c>
      <c r="E238" s="34">
        <f>Z238</f>
        <v>-561.950105242696</v>
      </c>
      <c r="F238" s="7">
        <f>E238*D238</f>
        <v>-2381.913185287585</v>
      </c>
      <c r="G238" s="7">
        <f>U238</f>
        <v>-1239.429284821817</v>
      </c>
      <c r="H238" s="7">
        <f>G238-F238</f>
        <v>1142.4839004657679</v>
      </c>
      <c r="I238" s="32"/>
      <c r="K238" s="4">
        <f>IF(B238&lt;Podsumowanie!E$7,0,K237+1)</f>
        <v>168</v>
      </c>
      <c r="L238" s="100">
        <f t="shared" si="261"/>
        <v>-0.0077</v>
      </c>
      <c r="M238" s="38">
        <f>L238+Podsumowanie!E$6</f>
        <v>0.0043</v>
      </c>
      <c r="N238" s="101">
        <f>MAX(Podsumowanie!E$4+SUM(AA$5:AA237)-SUM(X$5:X238)+SUM(W$5:W238),0)</f>
        <v>105297.11015521614</v>
      </c>
      <c r="O238" s="102">
        <f>MAX(Podsumowanie!E$2+SUM(V$5:V237)-SUM(S$5:S238)+SUM(R$5:R238),0)</f>
        <v>232241.83199880255</v>
      </c>
      <c r="P238" s="39">
        <f t="shared" si="401"/>
        <v>360</v>
      </c>
      <c r="Q238" s="40" t="str">
        <f>IF(AND(K238&gt;0,K238&lt;=Podsumowanie!E$9),"tak","nie")</f>
        <v>nie</v>
      </c>
      <c r="R238" s="41"/>
      <c r="S238" s="42"/>
      <c r="T238" s="88">
        <f>IF(AB238=1,-O238*M238/12,0)</f>
        <v>-83.21998979957091</v>
      </c>
      <c r="U238" s="89">
        <f>IF(Q238="tak",T238,IF(P238-SUM(AB$5:AB238)+1&gt;0,IF(Podsumowanie!E$7&lt;B238,IF(SUM(AB$5:AB238)-Podsumowanie!E$9+1&gt;0,PMT(M238/12,P238+1-SUM(AB$5:AB238),O238),T238),0),0))</f>
        <v>-1239.429284821817</v>
      </c>
      <c r="V238" s="89">
        <f>U238-T238</f>
        <v>-1156.2092950222461</v>
      </c>
      <c r="W238" s="90" t="str">
        <f>IF(R238&gt;0,R238/(C238*(1-Podsumowanie!E$11))," ")</f>
        <v xml:space="preserve"> </v>
      </c>
      <c r="X238" s="90">
        <f t="shared" si="266"/>
        <v>0</v>
      </c>
      <c r="Y238" s="91">
        <f>IF(AB238=1,-N238*M238/12,0)</f>
        <v>-37.731464472285786</v>
      </c>
      <c r="Z238" s="90">
        <f>IF(P238-SUM(AB$5:AB238)+1&gt;0,IF(Podsumowanie!E$7&lt;B238,IF(SUM(AB$5:AB238)-Podsumowanie!E$9+1&gt;0,PMT(M238/12,P238+1-SUM(AB$5:AB238),N238),Y238),0),0)</f>
        <v>-561.950105242696</v>
      </c>
      <c r="AA238" s="90">
        <f>Z238-Y238</f>
        <v>-524.2186407704103</v>
      </c>
      <c r="AB238" s="8">
        <f>IF(AND(Podsumowanie!E$7&lt;B238,SUM(AB$5:AB237)&lt;P237),1," ")</f>
        <v>1</v>
      </c>
      <c r="AD238" s="51">
        <f>IF(OR(B238&lt;Podsumowanie!E$12,Podsumowanie!E$12=""),-F238+S238,0)</f>
        <v>0</v>
      </c>
      <c r="AE238" s="51">
        <f t="shared" si="267"/>
        <v>561.950105242696</v>
      </c>
      <c r="AG238" s="10">
        <f>Podsumowanie!E$4-SUM(AI$5:AI237)+SUM(W$42:W238)-SUM(X$42:X238)</f>
        <v>97498.77813555242</v>
      </c>
      <c r="AH238" s="10">
        <f>IF(AB238=1,ROUND(AG238*M238/12,2),0)</f>
        <v>34.94</v>
      </c>
      <c r="AI238" s="10">
        <f>IF(Q238="tak",0,IF(AB238=1,ROUND(AG238/(P238-K238+1),2),0))</f>
        <v>505.18</v>
      </c>
      <c r="AJ238" s="10">
        <f>AI238+AH238</f>
        <v>540.12</v>
      </c>
      <c r="AK238" s="10">
        <f>ROUND(AJ238*D238,2)</f>
        <v>2289.38</v>
      </c>
      <c r="AL238" s="10">
        <f>Podsumowanie!E$2-SUM(AN$5:AN237)+SUM(R$42:R238)-SUM(S$42:S238)</f>
        <v>215041.55999999976</v>
      </c>
      <c r="AM238" s="10">
        <f>IF(AB238=1,ROUND(AL238*M238/12,2),0)</f>
        <v>77.06</v>
      </c>
      <c r="AN238" s="10">
        <f>IF(Q238="tak",0,IF(AB238=1,ROUND(AL238/(P238-K238+1),2),0))</f>
        <v>1114.2</v>
      </c>
      <c r="AO238" s="10">
        <f>AN238+AM238</f>
        <v>1191.26</v>
      </c>
      <c r="AP238" s="10">
        <f>AK238-AO238</f>
        <v>1098.1200000000001</v>
      </c>
      <c r="AR238" s="43">
        <f>B238</f>
        <v>44348</v>
      </c>
      <c r="AS238" s="11">
        <f>AS$5+SUM(AV$5:AV237)-SUM(X$5:X238)+SUM(W$5:W238)</f>
        <v>102138.19685055965</v>
      </c>
      <c r="AT238" s="10">
        <f>IF(AB238=1,-AS238*M238/12,0)</f>
        <v>-36.599520538117204</v>
      </c>
      <c r="AU238" s="10">
        <f>IF(AB238=1,IF(Q238="tak",AT238,PMT(M238/12,P238+1-SUM(AB$5:AB238),AS238)),0)</f>
        <v>-545.0916020854152</v>
      </c>
      <c r="AV238" s="10">
        <f>AU238-AT238</f>
        <v>-508.49208154729797</v>
      </c>
      <c r="AW238" s="10">
        <f>AU238*C238</f>
        <v>-2243.1609609019</v>
      </c>
      <c r="AY238" s="11">
        <f>AY$5+SUM(BA$5:BA237)+SUM(W$5:W237)-SUM(X$5:X237)</f>
        <v>94573.64719148568</v>
      </c>
      <c r="AZ238" s="11">
        <f>IF(AB238=1,-AS238*M238/12,0)</f>
        <v>-36.599520538117204</v>
      </c>
      <c r="BA238" s="11">
        <f>IF(AB238=1,IF(Q238="tak",0,ROUND(-AY238/(P238-K238+1),2)),0)</f>
        <v>-490.02</v>
      </c>
      <c r="BB238" s="11">
        <f>BA238+AZ238</f>
        <v>-526.6195205381172</v>
      </c>
      <c r="BC238" s="11">
        <f>BB238*C238</f>
        <v>-2167.14465091846</v>
      </c>
      <c r="BE238" s="172">
        <f t="shared" si="262"/>
        <v>0.0021</v>
      </c>
      <c r="BF238" s="44">
        <f>BE238+Podsumowanie!$E$6</f>
        <v>0.0141</v>
      </c>
      <c r="BG238" s="11">
        <f>BG$5+SUM(BH$5:BH237)+SUM(R$5:R237)-SUM(S$5:S237)</f>
        <v>271476.15181611385</v>
      </c>
      <c r="BH238" s="10">
        <f>IF(BJ238&lt;0,BJ238-BI238,0)</f>
        <v>-1246.7419191967256</v>
      </c>
      <c r="BI238" s="10">
        <f>IF(BJ238&lt;0,-BG238*BF238/12,0)</f>
        <v>-318.9844783839338</v>
      </c>
      <c r="BJ238" s="10">
        <f>IF(U238&lt;0,PMT(BF238/12,Podsumowanie!E$8-SUM(AB$5:AB238)+1,BG238),0)</f>
        <v>-1565.7263975806593</v>
      </c>
      <c r="BL238" s="11">
        <f>BL$5+SUM(BN$5:BN237)+SUM(R$5:R237)-SUM(S$5:S237)</f>
        <v>215041.7827298053</v>
      </c>
      <c r="BM238" s="11">
        <f t="shared" si="216"/>
        <v>-252.67409470752122</v>
      </c>
      <c r="BN238" s="11">
        <f t="shared" si="217"/>
        <v>-1114.2061281337062</v>
      </c>
      <c r="BO238" s="11">
        <f t="shared" si="400"/>
        <v>-1366.8802228412274</v>
      </c>
      <c r="BQ238" s="44">
        <f t="shared" si="263"/>
        <v>0.014199999999999999</v>
      </c>
      <c r="BR238" s="11">
        <f>BR$5+SUM(BS$5:BS237)+SUM(R$5:R237)-SUM(S$5:S237)+SUM(BV$5:BV237)</f>
        <v>263971.188919338</v>
      </c>
      <c r="BS238" s="10">
        <f t="shared" si="273"/>
        <v>-1211.2651537569284</v>
      </c>
      <c r="BT238" s="10">
        <f t="shared" si="274"/>
        <v>-312.3659068878833</v>
      </c>
      <c r="BU238" s="10">
        <f>IF(U238&lt;0,PMT(BQ238/12,Podsumowanie!E$8-SUM(AB$5:AB238)+1,BR238),0)</f>
        <v>-1523.6310606448117</v>
      </c>
      <c r="BV238" s="10">
        <f t="shared" si="268"/>
        <v>-858.2821246427732</v>
      </c>
      <c r="BX238" s="11">
        <f>BX$5+SUM(BZ$5:BZ237)+SUM(R$5:R237)-SUM(S$5:S237)+SUM(CB$5,CB237)</f>
        <v>214077.49975131903</v>
      </c>
      <c r="BY238" s="10">
        <f t="shared" si="264"/>
        <v>-253.32504137239417</v>
      </c>
      <c r="BZ238" s="10">
        <f t="shared" si="265"/>
        <v>-1109.2098432710832</v>
      </c>
      <c r="CA238" s="10">
        <f t="shared" si="275"/>
        <v>-1362.5348846434774</v>
      </c>
      <c r="CB238" s="10">
        <f t="shared" si="276"/>
        <v>-1019.3783006441074</v>
      </c>
      <c r="CD238" s="10">
        <f>CD$5+SUM(CE$5:CE237)+SUM(R$5:R237)-SUM(S$5:S237)-SUM(CF$5:CF237)</f>
        <v>232641.46382568317</v>
      </c>
      <c r="CE238" s="10">
        <f t="shared" si="269"/>
        <v>253.32504137239417</v>
      </c>
      <c r="CF238" s="10">
        <f t="shared" si="270"/>
        <v>2381.913185287585</v>
      </c>
      <c r="CG238" s="10">
        <f t="shared" si="271"/>
        <v>2128.588143915191</v>
      </c>
      <c r="CI238" s="44">
        <v>0.2954</v>
      </c>
      <c r="CJ238" s="10">
        <f t="shared" si="272"/>
        <v>-703.62</v>
      </c>
      <c r="CK238" s="4">
        <f t="shared" si="277"/>
        <v>0</v>
      </c>
      <c r="CM238" s="10">
        <f t="shared" si="278"/>
        <v>-360184.4729629279</v>
      </c>
      <c r="CN238" s="4">
        <f t="shared" si="279"/>
        <v>-63.032282768512374</v>
      </c>
    </row>
    <row r="239" spans="1:92" ht="15.75">
      <c r="A239" s="36"/>
      <c r="B239" s="37">
        <v>44378</v>
      </c>
      <c r="C239" s="77">
        <f t="shared" si="260"/>
        <v>4.2033</v>
      </c>
      <c r="D239" s="79">
        <f>C239*(1+Podsumowanie!E$11)</f>
        <v>4.3293989999999996</v>
      </c>
      <c r="E239" s="34">
        <f>Z239</f>
        <v>-561.950105242696</v>
      </c>
      <c r="F239" s="7">
        <f>E239*D239</f>
        <v>-2432.906223687623</v>
      </c>
      <c r="G239" s="7">
        <f>U239</f>
        <v>-1239.429284821817</v>
      </c>
      <c r="H239" s="7">
        <f>G239-F239</f>
        <v>1193.476938865806</v>
      </c>
      <c r="I239" s="32"/>
      <c r="K239" s="4">
        <f>IF(B239&lt;Podsumowanie!E$7,0,K238+1)</f>
        <v>169</v>
      </c>
      <c r="L239" s="100">
        <f t="shared" si="261"/>
        <v>-0.0077</v>
      </c>
      <c r="M239" s="38">
        <f>L239+Podsumowanie!E$6</f>
        <v>0.0043</v>
      </c>
      <c r="N239" s="101">
        <f>MAX(Podsumowanie!E$4+SUM(AA$5:AA238)-SUM(X$5:X239)+SUM(W$5:W239),0)</f>
        <v>104772.89151444573</v>
      </c>
      <c r="O239" s="102">
        <f>MAX(Podsumowanie!E$2+SUM(V$5:V238)-SUM(S$5:S239)+SUM(R$5:R239),0)</f>
        <v>231085.6227037803</v>
      </c>
      <c r="P239" s="39">
        <f t="shared" si="401"/>
        <v>360</v>
      </c>
      <c r="Q239" s="40" t="str">
        <f>IF(AND(K239&gt;0,K239&lt;=Podsumowanie!E$9),"tak","nie")</f>
        <v>nie</v>
      </c>
      <c r="R239" s="41"/>
      <c r="S239" s="42"/>
      <c r="T239" s="88">
        <f>IF(AB239=1,-O239*M239/12,0)</f>
        <v>-82.80568146885462</v>
      </c>
      <c r="U239" s="89">
        <f>IF(Q239="tak",T239,IF(P239-SUM(AB$5:AB239)+1&gt;0,IF(Podsumowanie!E$7&lt;B239,IF(SUM(AB$5:AB239)-Podsumowanie!E$9+1&gt;0,PMT(M239/12,P239+1-SUM(AB$5:AB239),O239),T239),0),0))</f>
        <v>-1239.429284821817</v>
      </c>
      <c r="V239" s="89">
        <f>U239-T239</f>
        <v>-1156.6236033529624</v>
      </c>
      <c r="W239" s="90" t="str">
        <f>IF(R239&gt;0,R239/(C239*(1-Podsumowanie!E$11))," ")</f>
        <v xml:space="preserve"> </v>
      </c>
      <c r="X239" s="90">
        <f t="shared" si="266"/>
        <v>0</v>
      </c>
      <c r="Y239" s="91">
        <f>IF(AB239=1,-N239*M239/12,0)</f>
        <v>-37.543619459343056</v>
      </c>
      <c r="Z239" s="90">
        <f>IF(P239-SUM(AB$5:AB239)+1&gt;0,IF(Podsumowanie!E$7&lt;B239,IF(SUM(AB$5:AB239)-Podsumowanie!E$9+1&gt;0,PMT(M239/12,P239+1-SUM(AB$5:AB239),N239),Y239),0),0)</f>
        <v>-561.950105242696</v>
      </c>
      <c r="AA239" s="90">
        <f>Z239-Y239</f>
        <v>-524.406485783353</v>
      </c>
      <c r="AB239" s="8">
        <f>IF(AND(Podsumowanie!E$7&lt;B239,SUM(AB$5:AB238)&lt;P238),1," ")</f>
        <v>1</v>
      </c>
      <c r="AD239" s="51">
        <f>IF(OR(B239&lt;Podsumowanie!E$12,Podsumowanie!E$12=""),-F239+S239,0)</f>
        <v>0</v>
      </c>
      <c r="AE239" s="51">
        <f t="shared" si="267"/>
        <v>561.950105242696</v>
      </c>
      <c r="AG239" s="10">
        <f>Podsumowanie!E$4-SUM(AI$5:AI238)+SUM(W$42:W239)-SUM(X$42:X239)</f>
        <v>96993.59813555243</v>
      </c>
      <c r="AH239" s="10">
        <f>IF(AB239=1,ROUND(AG239*M239/12,2),0)</f>
        <v>34.76</v>
      </c>
      <c r="AI239" s="10">
        <f>IF(Q239="tak",0,IF(AB239=1,ROUND(AG239/(P239-K239+1),2),0))</f>
        <v>505.17</v>
      </c>
      <c r="AJ239" s="10">
        <f>AI239+AH239</f>
        <v>539.9300000000001</v>
      </c>
      <c r="AK239" s="10">
        <f>ROUND(AJ239*D239,2)</f>
        <v>2337.57</v>
      </c>
      <c r="AL239" s="10">
        <f>Podsumowanie!E$2-SUM(AN$5:AN238)+SUM(R$42:R239)-SUM(S$42:S239)</f>
        <v>213927.35999999975</v>
      </c>
      <c r="AM239" s="10">
        <f>IF(AB239=1,ROUND(AL239*M239/12,2),0)</f>
        <v>76.66</v>
      </c>
      <c r="AN239" s="10">
        <f>IF(Q239="tak",0,IF(AB239=1,ROUND(AL239/(P239-K239+1),2),0))</f>
        <v>1114.21</v>
      </c>
      <c r="AO239" s="10">
        <f>AN239+AM239</f>
        <v>1190.8700000000001</v>
      </c>
      <c r="AP239" s="10">
        <f>AK239-AO239</f>
        <v>1146.7</v>
      </c>
      <c r="AR239" s="43">
        <f>B239</f>
        <v>44378</v>
      </c>
      <c r="AS239" s="11">
        <f>AS$5+SUM(AV$5:AV238)-SUM(X$5:X239)+SUM(W$5:W239)</f>
        <v>101629.70476901234</v>
      </c>
      <c r="AT239" s="10">
        <f>IF(AB239=1,-AS239*M239/12,0)</f>
        <v>-36.417310875562755</v>
      </c>
      <c r="AU239" s="10">
        <f>IF(AB239=1,IF(Q239="tak",AT239,PMT(M239/12,P239+1-SUM(AB$5:AB239),AS239)),0)</f>
        <v>-545.091602085415</v>
      </c>
      <c r="AV239" s="10">
        <f>AU239-AT239</f>
        <v>-508.6742912098523</v>
      </c>
      <c r="AW239" s="10">
        <f>AU239*C239</f>
        <v>-2291.183531045625</v>
      </c>
      <c r="AY239" s="11">
        <f>AY$5+SUM(BA$5:BA238)+SUM(W$5:W238)-SUM(X$5:X238)</f>
        <v>94083.62719148568</v>
      </c>
      <c r="AZ239" s="11">
        <f>IF(AB239=1,-AS239*M239/12,0)</f>
        <v>-36.417310875562755</v>
      </c>
      <c r="BA239" s="11">
        <f>IF(AB239=1,IF(Q239="tak",0,ROUND(-AY239/(P239-K239+1),2)),0)</f>
        <v>-490.02</v>
      </c>
      <c r="BB239" s="11">
        <f>BA239+AZ239</f>
        <v>-526.4373108755627</v>
      </c>
      <c r="BC239" s="11">
        <f>BB239*C239</f>
        <v>-2212.7739488032526</v>
      </c>
      <c r="BE239" s="172">
        <f t="shared" si="262"/>
        <v>0.0021</v>
      </c>
      <c r="BF239" s="44">
        <f>BE239+Podsumowanie!$E$6</f>
        <v>0.0141</v>
      </c>
      <c r="BG239" s="11">
        <f>BG$5+SUM(BH$5:BH238)+SUM(R$5:R238)-SUM(S$5:S238)</f>
        <v>270229.4098969172</v>
      </c>
      <c r="BH239" s="10">
        <f>IF(BJ239&lt;0,BJ239-BI239,0)</f>
        <v>-1248.206840951782</v>
      </c>
      <c r="BI239" s="10">
        <f>IF(BJ239&lt;0,-BG239*BF239/12,0)</f>
        <v>-317.51955662887764</v>
      </c>
      <c r="BJ239" s="10">
        <f>IF(U239&lt;0,PMT(BF239/12,Podsumowanie!E$8-SUM(AB$5:AB239)+1,BG239),0)</f>
        <v>-1565.7263975806595</v>
      </c>
      <c r="BL239" s="11">
        <f>BL$5+SUM(BN$5:BN238)+SUM(R$5:R238)-SUM(S$5:S238)</f>
        <v>213927.5766016716</v>
      </c>
      <c r="BM239" s="11">
        <f t="shared" si="216"/>
        <v>-251.3649025069641</v>
      </c>
      <c r="BN239" s="11">
        <f t="shared" si="217"/>
        <v>-1114.2061281337062</v>
      </c>
      <c r="BO239" s="11">
        <f t="shared" si="400"/>
        <v>-1365.5710306406704</v>
      </c>
      <c r="BQ239" s="44">
        <f t="shared" si="263"/>
        <v>0.014199999999999999</v>
      </c>
      <c r="BR239" s="11">
        <f>BR$5+SUM(BS$5:BS238)+SUM(R$5:R238)-SUM(S$5:S238)+SUM(BV$5:BV238)</f>
        <v>261901.64164093832</v>
      </c>
      <c r="BS239" s="10">
        <f t="shared" si="273"/>
        <v>-1208.7373115083356</v>
      </c>
      <c r="BT239" s="10">
        <f t="shared" si="274"/>
        <v>-309.91694260844366</v>
      </c>
      <c r="BU239" s="10">
        <f>IF(U239&lt;0,PMT(BQ239/12,Podsumowanie!E$8-SUM(AB$5:AB239)+1,BR239),0)</f>
        <v>-1518.6542541167792</v>
      </c>
      <c r="BV239" s="10">
        <f t="shared" si="268"/>
        <v>-914.2519695708438</v>
      </c>
      <c r="BX239" s="11">
        <f>BX$5+SUM(BZ$5:BZ238)+SUM(R$5:R238)-SUM(S$5:S238)+SUM(CB$5,CB238)</f>
        <v>212975.8476753806</v>
      </c>
      <c r="BY239" s="10">
        <f t="shared" si="264"/>
        <v>-252.02141974920036</v>
      </c>
      <c r="BZ239" s="10">
        <f t="shared" si="265"/>
        <v>-1109.2492066426073</v>
      </c>
      <c r="CA239" s="10">
        <f t="shared" si="275"/>
        <v>-1361.2706263918076</v>
      </c>
      <c r="CB239" s="10">
        <f t="shared" si="276"/>
        <v>-1071.6355972958154</v>
      </c>
      <c r="CD239" s="10">
        <f>CD$5+SUM(CE$5:CE238)+SUM(R$5:R238)-SUM(S$5:S238)-SUM(CF$5:CF238)</f>
        <v>230512.87568176806</v>
      </c>
      <c r="CE239" s="10">
        <f t="shared" si="269"/>
        <v>252.02141974920036</v>
      </c>
      <c r="CF239" s="10">
        <f t="shared" si="270"/>
        <v>2432.906223687623</v>
      </c>
      <c r="CG239" s="10">
        <f t="shared" si="271"/>
        <v>2180.8848039384225</v>
      </c>
      <c r="CI239" s="44">
        <v>0.2941</v>
      </c>
      <c r="CJ239" s="10">
        <f t="shared" si="272"/>
        <v>-715.52</v>
      </c>
      <c r="CK239" s="4">
        <f t="shared" si="277"/>
        <v>0</v>
      </c>
      <c r="CM239" s="10">
        <f t="shared" si="278"/>
        <v>-362617.3791866155</v>
      </c>
      <c r="CN239" s="4">
        <f t="shared" si="279"/>
        <v>-63.45804135765771</v>
      </c>
    </row>
    <row r="240" spans="1:92" ht="15.75">
      <c r="A240" s="36"/>
      <c r="B240" s="37">
        <v>44409</v>
      </c>
      <c r="C240" s="77">
        <f t="shared" si="260"/>
        <v>4.2465</v>
      </c>
      <c r="D240" s="79">
        <f>C240*(1+Podsumowanie!E$11)</f>
        <v>4.373895</v>
      </c>
      <c r="E240" s="34">
        <f>Z240</f>
        <v>-561.9501052426959</v>
      </c>
      <c r="F240" s="7">
        <f>E240*D240</f>
        <v>-2457.910755570502</v>
      </c>
      <c r="G240" s="7">
        <f>U240</f>
        <v>-1239.429284821817</v>
      </c>
      <c r="H240" s="7">
        <f>G240-F240</f>
        <v>1218.4814707486848</v>
      </c>
      <c r="I240" s="32"/>
      <c r="K240" s="4">
        <f>IF(B240&lt;Podsumowanie!E$7,0,K239+1)</f>
        <v>170</v>
      </c>
      <c r="L240" s="100">
        <f t="shared" si="261"/>
        <v>-0.0077</v>
      </c>
      <c r="M240" s="38">
        <f>L240+Podsumowanie!E$6</f>
        <v>0.0043</v>
      </c>
      <c r="N240" s="101">
        <f>MAX(Podsumowanie!E$4+SUM(AA$5:AA239)-SUM(X$5:X240)+SUM(W$5:W240),0)</f>
        <v>104248.48502866237</v>
      </c>
      <c r="O240" s="102">
        <f>MAX(Podsumowanie!E$2+SUM(V$5:V239)-SUM(S$5:S240)+SUM(R$5:R240),0)</f>
        <v>229928.99910042735</v>
      </c>
      <c r="P240" s="39">
        <f t="shared" si="401"/>
        <v>360</v>
      </c>
      <c r="Q240" s="40" t="str">
        <f>IF(AND(K240&gt;0,K240&lt;=Podsumowanie!E$9),"tak","nie")</f>
        <v>nie</v>
      </c>
      <c r="R240" s="41"/>
      <c r="S240" s="42"/>
      <c r="T240" s="88">
        <f>IF(AB240=1,-O240*M240/12,0)</f>
        <v>-82.39122467765314</v>
      </c>
      <c r="U240" s="89">
        <f>IF(Q240="tak",T240,IF(P240-SUM(AB$5:AB240)+1&gt;0,IF(Podsumowanie!E$7&lt;B240,IF(SUM(AB$5:AB240)-Podsumowanie!E$9+1&gt;0,PMT(M240/12,P240+1-SUM(AB$5:AB240),O240),T240),0),0))</f>
        <v>-1239.429284821817</v>
      </c>
      <c r="V240" s="89">
        <f>U240-T240</f>
        <v>-1157.0380601441639</v>
      </c>
      <c r="W240" s="90" t="str">
        <f>IF(R240&gt;0,R240/(C240*(1-Podsumowanie!E$11))," ")</f>
        <v xml:space="preserve"> </v>
      </c>
      <c r="X240" s="90">
        <f t="shared" si="266"/>
        <v>0</v>
      </c>
      <c r="Y240" s="91">
        <f>IF(AB240=1,-N240*M240/12,0)</f>
        <v>-37.355707135270684</v>
      </c>
      <c r="Z240" s="90">
        <f>IF(P240-SUM(AB$5:AB240)+1&gt;0,IF(Podsumowanie!E$7&lt;B240,IF(SUM(AB$5:AB240)-Podsumowanie!E$9+1&gt;0,PMT(M240/12,P240+1-SUM(AB$5:AB240),N240),Y240),0),0)</f>
        <v>-561.9501052426959</v>
      </c>
      <c r="AA240" s="90">
        <f>Z240-Y240</f>
        <v>-524.5943981074253</v>
      </c>
      <c r="AB240" s="8">
        <f>IF(AND(Podsumowanie!E$7&lt;B240,SUM(AB$5:AB239)&lt;P239),1," ")</f>
        <v>1</v>
      </c>
      <c r="AD240" s="51">
        <f>IF(OR(B240&lt;Podsumowanie!E$12,Podsumowanie!E$12=""),-F240+S240,0)</f>
        <v>0</v>
      </c>
      <c r="AE240" s="51">
        <f t="shared" si="267"/>
        <v>561.9501052426959</v>
      </c>
      <c r="AG240" s="10">
        <f>Podsumowanie!E$4-SUM(AI$5:AI239)+SUM(W$42:W240)-SUM(X$42:X240)</f>
        <v>96488.42813555243</v>
      </c>
      <c r="AH240" s="10">
        <f>IF(AB240=1,ROUND(AG240*M240/12,2),0)</f>
        <v>34.58</v>
      </c>
      <c r="AI240" s="10">
        <f>IF(Q240="tak",0,IF(AB240=1,ROUND(AG240/(P240-K240+1),2),0))</f>
        <v>505.18</v>
      </c>
      <c r="AJ240" s="10">
        <f>AI240+AH240</f>
        <v>539.76</v>
      </c>
      <c r="AK240" s="10">
        <f>ROUND(AJ240*D240,2)</f>
        <v>2360.85</v>
      </c>
      <c r="AL240" s="10">
        <f>Podsumowanie!E$2-SUM(AN$5:AN239)+SUM(R$42:R240)-SUM(S$42:S240)</f>
        <v>212813.14999999976</v>
      </c>
      <c r="AM240" s="10">
        <f>IF(AB240=1,ROUND(AL240*M240/12,2),0)</f>
        <v>76.26</v>
      </c>
      <c r="AN240" s="10">
        <f>IF(Q240="tak",0,IF(AB240=1,ROUND(AL240/(P240-K240+1),2),0))</f>
        <v>1114.2</v>
      </c>
      <c r="AO240" s="10">
        <f>AN240+AM240</f>
        <v>1190.46</v>
      </c>
      <c r="AP240" s="10">
        <f>AK240-AO240</f>
        <v>1170.3899999999999</v>
      </c>
      <c r="AR240" s="43">
        <f>B240</f>
        <v>44409</v>
      </c>
      <c r="AS240" s="11">
        <f>AS$5+SUM(AV$5:AV239)-SUM(X$5:X240)+SUM(W$5:W240)</f>
        <v>101121.03047780249</v>
      </c>
      <c r="AT240" s="10">
        <f>IF(AB240=1,-AS240*M240/12,0)</f>
        <v>-36.23503592121256</v>
      </c>
      <c r="AU240" s="10">
        <f>IF(AB240=1,IF(Q240="tak",AT240,PMT(M240/12,P240+1-SUM(AB$5:AB240),AS240)),0)</f>
        <v>-545.0916020854149</v>
      </c>
      <c r="AV240" s="10">
        <f>AU240-AT240</f>
        <v>-508.8565661642024</v>
      </c>
      <c r="AW240" s="10">
        <f>AU240*C240</f>
        <v>-2314.731488255715</v>
      </c>
      <c r="AY240" s="11">
        <f>AY$5+SUM(BA$5:BA239)+SUM(W$5:W239)-SUM(X$5:X239)</f>
        <v>93593.60719148567</v>
      </c>
      <c r="AZ240" s="11">
        <f>IF(AB240=1,-AS240*M240/12,0)</f>
        <v>-36.23503592121256</v>
      </c>
      <c r="BA240" s="11">
        <f>IF(AB240=1,IF(Q240="tak",0,ROUND(-AY240/(P240-K240+1),2)),0)</f>
        <v>-490.02</v>
      </c>
      <c r="BB240" s="11">
        <f>BA240+AZ240</f>
        <v>-526.2550359212125</v>
      </c>
      <c r="BC240" s="11">
        <f>BB240*C240</f>
        <v>-2234.7420100394293</v>
      </c>
      <c r="BE240" s="172">
        <f t="shared" si="262"/>
        <v>0.0021</v>
      </c>
      <c r="BF240" s="44">
        <f>BE240+Podsumowanie!$E$6</f>
        <v>0.0141</v>
      </c>
      <c r="BG240" s="11">
        <f>BG$5+SUM(BH$5:BH239)+SUM(R$5:R239)-SUM(S$5:S239)</f>
        <v>268981.20305596536</v>
      </c>
      <c r="BH240" s="10">
        <f>IF(BJ240&lt;0,BJ240-BI240,0)</f>
        <v>-1249.6734839899002</v>
      </c>
      <c r="BI240" s="10">
        <f>IF(BJ240&lt;0,-BG240*BF240/12,0)</f>
        <v>-316.05291359075926</v>
      </c>
      <c r="BJ240" s="10">
        <f>IF(U240&lt;0,PMT(BF240/12,Podsumowanie!E$8-SUM(AB$5:AB240)+1,BG240),0)</f>
        <v>-1565.7263975806595</v>
      </c>
      <c r="BL240" s="11">
        <f>BL$5+SUM(BN$5:BN239)+SUM(R$5:R239)-SUM(S$5:S239)</f>
        <v>212813.3704735379</v>
      </c>
      <c r="BM240" s="11">
        <f t="shared" si="216"/>
        <v>-250.05571030640704</v>
      </c>
      <c r="BN240" s="11">
        <f t="shared" si="217"/>
        <v>-1114.2061281337064</v>
      </c>
      <c r="BO240" s="11">
        <f>BN240+BM240</f>
        <v>-1364.2618384401135</v>
      </c>
      <c r="BQ240" s="44">
        <f t="shared" si="263"/>
        <v>0.014199999999999999</v>
      </c>
      <c r="BR240" s="11">
        <f>BR$5+SUM(BS$5:BS239)+SUM(R$5:R239)-SUM(S$5:S239)+SUM(BV$5:BV239)</f>
        <v>259778.65235985914</v>
      </c>
      <c r="BS240" s="10">
        <f t="shared" si="273"/>
        <v>-1205.9235836383132</v>
      </c>
      <c r="BT240" s="10">
        <f t="shared" si="274"/>
        <v>-307.4047386258333</v>
      </c>
      <c r="BU240" s="10">
        <f>IF(U240&lt;0,PMT(BQ240/12,Podsumowanie!E$8-SUM(AB$5:AB240)+1,BR240),0)</f>
        <v>-1513.3283222641464</v>
      </c>
      <c r="BV240" s="10">
        <f t="shared" si="268"/>
        <v>-944.5824333063554</v>
      </c>
      <c r="BX240" s="11">
        <f>BX$5+SUM(BZ$5:BZ239)+SUM(R$5:R239)-SUM(S$5:S239)+SUM(CB$5,CB239)</f>
        <v>211814.34117208625</v>
      </c>
      <c r="BY240" s="10">
        <f t="shared" si="264"/>
        <v>-250.64697038696872</v>
      </c>
      <c r="BZ240" s="10">
        <f t="shared" si="265"/>
        <v>-1108.9756082308181</v>
      </c>
      <c r="CA240" s="10">
        <f t="shared" si="275"/>
        <v>-1359.6225786177868</v>
      </c>
      <c r="CB240" s="10">
        <f t="shared" si="276"/>
        <v>-1098.288176952715</v>
      </c>
      <c r="CD240" s="10">
        <f>CD$5+SUM(CE$5:CE239)+SUM(R$5:R239)-SUM(S$5:S239)-SUM(CF$5:CF239)</f>
        <v>228331.99087782955</v>
      </c>
      <c r="CE240" s="10">
        <f t="shared" si="269"/>
        <v>250.64697038696872</v>
      </c>
      <c r="CF240" s="10">
        <f t="shared" si="270"/>
        <v>2457.910755570502</v>
      </c>
      <c r="CG240" s="10">
        <f t="shared" si="271"/>
        <v>2207.263785183533</v>
      </c>
      <c r="CI240" s="44">
        <v>0.2889</v>
      </c>
      <c r="CJ240" s="10">
        <f t="shared" si="272"/>
        <v>-710.09</v>
      </c>
      <c r="CK240" s="4">
        <f t="shared" si="277"/>
        <v>0</v>
      </c>
      <c r="CM240" s="10">
        <f t="shared" si="278"/>
        <v>-365075.28994218603</v>
      </c>
      <c r="CN240" s="4">
        <f t="shared" si="279"/>
        <v>-63.88817573988255</v>
      </c>
    </row>
    <row r="241" spans="1:92" ht="15.75">
      <c r="A241" s="36"/>
      <c r="B241" s="37">
        <v>44440</v>
      </c>
      <c r="C241" s="77">
        <f aca="true" t="shared" si="402" ref="C241">VLOOKUP(B241,Kursy,C$2)</f>
        <v>4.2043</v>
      </c>
      <c r="D241" s="79">
        <f>C241*(1+Podsumowanie!E$11)</f>
        <v>4.330429</v>
      </c>
      <c r="E241" s="34">
        <f>Z241</f>
        <v>-561.950105242696</v>
      </c>
      <c r="F241" s="7">
        <f>E241*D241</f>
        <v>-2433.485032296023</v>
      </c>
      <c r="G241" s="7">
        <f>U241</f>
        <v>-1239.429284821817</v>
      </c>
      <c r="H241" s="7">
        <f>G241-F241</f>
        <v>1194.0557474742059</v>
      </c>
      <c r="I241" s="32"/>
      <c r="K241" s="4">
        <f>IF(B241&lt;Podsumowanie!E$7,0,K240+1)</f>
        <v>171</v>
      </c>
      <c r="L241" s="100">
        <f aca="true" t="shared" si="403" ref="L241">VLOOKUP(B241,Oproc,C$2)</f>
        <v>-0.0077</v>
      </c>
      <c r="M241" s="38">
        <f>L241+Podsumowanie!E$6</f>
        <v>0.0043</v>
      </c>
      <c r="N241" s="101">
        <f>MAX(Podsumowanie!E$4+SUM(AA$5:AA240)-SUM(X$5:X241)+SUM(W$5:W241),0)</f>
        <v>103723.89063055495</v>
      </c>
      <c r="O241" s="102">
        <f>MAX(Podsumowanie!E$2+SUM(V$5:V240)-SUM(S$5:S241)+SUM(R$5:R241),0)</f>
        <v>228771.96104028317</v>
      </c>
      <c r="P241" s="39">
        <f t="shared" si="401"/>
        <v>360</v>
      </c>
      <c r="Q241" s="40" t="str">
        <f>IF(AND(K241&gt;0,K241&lt;=Podsumowanie!E$9),"tak","nie")</f>
        <v>nie</v>
      </c>
      <c r="R241" s="41"/>
      <c r="S241" s="42"/>
      <c r="T241" s="88">
        <f>IF(AB241=1,-O241*M241/12,0)</f>
        <v>-81.97661937276814</v>
      </c>
      <c r="U241" s="89">
        <f>IF(Q241="tak",T241,IF(P241-SUM(AB$5:AB241)+1&gt;0,IF(Podsumowanie!E$7&lt;B241,IF(SUM(AB$5:AB241)-Podsumowanie!E$9+1&gt;0,PMT(M241/12,P241+1-SUM(AB$5:AB241),O241),T241),0),0))</f>
        <v>-1239.429284821817</v>
      </c>
      <c r="V241" s="89">
        <f>U241-T241</f>
        <v>-1157.4526654490487</v>
      </c>
      <c r="W241" s="90" t="str">
        <f>IF(R241&gt;0,R241/(C241*(1-Podsumowanie!E$11))," ")</f>
        <v xml:space="preserve"> </v>
      </c>
      <c r="X241" s="90">
        <f t="shared" si="266"/>
        <v>0</v>
      </c>
      <c r="Y241" s="91">
        <f>IF(AB241=1,-N241*M241/12,0)</f>
        <v>-37.16772747594886</v>
      </c>
      <c r="Z241" s="90">
        <f>IF(P241-SUM(AB$5:AB241)+1&gt;0,IF(Podsumowanie!E$7&lt;B241,IF(SUM(AB$5:AB241)-Podsumowanie!E$9+1&gt;0,PMT(M241/12,P241+1-SUM(AB$5:AB241),N241),Y241),0),0)</f>
        <v>-561.950105242696</v>
      </c>
      <c r="AA241" s="90">
        <f>Z241-Y241</f>
        <v>-524.7823777667472</v>
      </c>
      <c r="AB241" s="8">
        <f>IF(AND(Podsumowanie!E$7&lt;B241,SUM(AB$5:AB240)&lt;P240),1," ")</f>
        <v>1</v>
      </c>
      <c r="AD241" s="51">
        <f>IF(OR(B241&lt;Podsumowanie!E$12,Podsumowanie!E$12=""),-F241+S241,0)</f>
        <v>0</v>
      </c>
      <c r="AE241" s="51">
        <f t="shared" si="267"/>
        <v>561.950105242696</v>
      </c>
      <c r="AG241" s="10">
        <f>Podsumowanie!E$4-SUM(AI$5:AI240)+SUM(W$42:W241)-SUM(X$42:X241)</f>
        <v>95983.24813555244</v>
      </c>
      <c r="AH241" s="10">
        <f>IF(AB241=1,ROUND(AG241*M241/12,2),0)</f>
        <v>34.39</v>
      </c>
      <c r="AI241" s="10">
        <f>IF(Q241="tak",0,IF(AB241=1,ROUND(AG241/(P241-K241+1),2),0))</f>
        <v>505.17</v>
      </c>
      <c r="AJ241" s="10">
        <f>AI241+AH241</f>
        <v>539.5600000000001</v>
      </c>
      <c r="AK241" s="10">
        <f>ROUND(AJ241*D241,2)</f>
        <v>2336.53</v>
      </c>
      <c r="AL241" s="10">
        <f>Podsumowanie!E$2-SUM(AN$5:AN240)+SUM(R$42:R241)-SUM(S$42:S241)</f>
        <v>211698.94999999975</v>
      </c>
      <c r="AM241" s="10">
        <f>IF(AB241=1,ROUND(AL241*M241/12,2),0)</f>
        <v>75.86</v>
      </c>
      <c r="AN241" s="10">
        <f>IF(Q241="tak",0,IF(AB241=1,ROUND(AL241/(P241-K241+1),2),0))</f>
        <v>1114.21</v>
      </c>
      <c r="AO241" s="10">
        <f>AN241+AM241</f>
        <v>1190.07</v>
      </c>
      <c r="AP241" s="10">
        <f>AK241-AO241</f>
        <v>1146.4600000000003</v>
      </c>
      <c r="AR241" s="43">
        <f>B241</f>
        <v>44440</v>
      </c>
      <c r="AS241" s="11">
        <f>AS$5+SUM(AV$5:AV240)-SUM(X$5:X241)+SUM(W$5:W241)</f>
        <v>100612.17391163828</v>
      </c>
      <c r="AT241" s="10">
        <f>IF(AB241=1,-AS241*M241/12,0)</f>
        <v>-36.05269565167038</v>
      </c>
      <c r="AU241" s="10">
        <f>IF(AB241=1,IF(Q241="tak",AT241,PMT(M241/12,P241+1-SUM(AB$5:AB241),AS241)),0)</f>
        <v>-545.091602085415</v>
      </c>
      <c r="AV241" s="10">
        <f>AU241-AT241</f>
        <v>-509.03890643374467</v>
      </c>
      <c r="AW241" s="10">
        <f>AU241*C241</f>
        <v>-2291.7286226477104</v>
      </c>
      <c r="AY241" s="11">
        <f>AY$5+SUM(BA$5:BA240)+SUM(W$5:W240)-SUM(X$5:X240)</f>
        <v>93103.58719148567</v>
      </c>
      <c r="AZ241" s="11">
        <f>IF(AB241=1,-AS241*M241/12,0)</f>
        <v>-36.05269565167038</v>
      </c>
      <c r="BA241" s="11">
        <f>IF(AB241=1,IF(Q241="tak",0,ROUND(-AY241/(P241-K241+1),2)),0)</f>
        <v>-490.02</v>
      </c>
      <c r="BB241" s="11">
        <f>BA241+AZ241</f>
        <v>-526.0726956516704</v>
      </c>
      <c r="BC241" s="11">
        <f>BB241*C241</f>
        <v>-2211.767434328318</v>
      </c>
      <c r="BE241" s="172">
        <f t="shared" si="262"/>
        <v>0.0024</v>
      </c>
      <c r="BF241" s="44">
        <f>BE241+Podsumowanie!$E$6</f>
        <v>0.0144</v>
      </c>
      <c r="BG241" s="11">
        <f>BG$5+SUM(BH$5:BH240)+SUM(R$5:R240)-SUM(S$5:S240)</f>
        <v>267731.52957197546</v>
      </c>
      <c r="BH241" s="10">
        <f>IF(BJ241&lt;0,BJ241-BI241,0)</f>
        <v>-1248.0650839359269</v>
      </c>
      <c r="BI241" s="10">
        <f>IF(BJ241&lt;0,-BG241*BF241/12,0)</f>
        <v>-321.2778354863705</v>
      </c>
      <c r="BJ241" s="10">
        <f>IF(U241&lt;0,PMT(BF241/12,Podsumowanie!E$8-SUM(AB$5:AB241)+1,BG241),0)</f>
        <v>-1569.3429194222974</v>
      </c>
      <c r="BL241" s="11">
        <f>BL$5+SUM(BN$5:BN240)+SUM(R$5:R240)-SUM(S$5:S240)</f>
        <v>211699.16434540422</v>
      </c>
      <c r="BM241" s="11">
        <f t="shared" si="216"/>
        <v>-254.03899721448508</v>
      </c>
      <c r="BN241" s="11">
        <f t="shared" si="217"/>
        <v>-1114.2061281337064</v>
      </c>
      <c r="BO241" s="11">
        <f>BN241+BM241</f>
        <v>-1368.2451253481916</v>
      </c>
      <c r="BQ241" s="44">
        <f t="shared" si="263"/>
        <v>0.014499999999999999</v>
      </c>
      <c r="BR241" s="11">
        <f>BR$5+SUM(BS$5:BS240)+SUM(R$5:R240)-SUM(S$5:S240)+SUM(BV$5:BV240)</f>
        <v>257628.1463429145</v>
      </c>
      <c r="BS241" s="10">
        <f aca="true" t="shared" si="404" ref="BS241">IF(BU241&lt;0,BU241-BT241,0)</f>
        <v>-1199.9811037954958</v>
      </c>
      <c r="BT241" s="10">
        <f aca="true" t="shared" si="405" ref="BT241">IF(BU241&lt;0,-BR241*BQ241/12,0)</f>
        <v>-311.3006768310217</v>
      </c>
      <c r="BU241" s="10">
        <f>IF(U241&lt;0,PMT(BQ241/12,Podsumowanie!E$8-SUM(AB$5:AB241)+1,BR241),0)</f>
        <v>-1511.2817806265175</v>
      </c>
      <c r="BV241" s="10">
        <f t="shared" si="268"/>
        <v>-922.2032516695053</v>
      </c>
      <c r="BX241" s="11">
        <f>BX$5+SUM(BZ$5:BZ240)+SUM(R$5:R240)-SUM(S$5:S240)+SUM(CB$5,CB240)</f>
        <v>210678.71298419853</v>
      </c>
      <c r="BY241" s="10">
        <f t="shared" si="264"/>
        <v>-254.57011152257323</v>
      </c>
      <c r="BZ241" s="10">
        <f t="shared" si="265"/>
        <v>-1108.8353314957817</v>
      </c>
      <c r="CA241" s="10">
        <f aca="true" t="shared" si="406" ref="CA241">BZ241+BY241</f>
        <v>-1363.4054430183548</v>
      </c>
      <c r="CB241" s="10">
        <f t="shared" si="276"/>
        <v>-1070.079589277668</v>
      </c>
      <c r="CD241" s="10">
        <f>CD$5+SUM(CE$5:CE240)+SUM(R$5:R240)-SUM(S$5:S240)-SUM(CF$5:CF240)</f>
        <v>226124.727092646</v>
      </c>
      <c r="CE241" s="10">
        <f t="shared" si="269"/>
        <v>254.57011152257323</v>
      </c>
      <c r="CF241" s="10">
        <f t="shared" si="270"/>
        <v>2433.485032296023</v>
      </c>
      <c r="CG241" s="10">
        <f t="shared" si="271"/>
        <v>2178.9149207734495</v>
      </c>
      <c r="CI241" s="44">
        <v>0.2851</v>
      </c>
      <c r="CJ241" s="10">
        <f t="shared" si="272"/>
        <v>-693.79</v>
      </c>
      <c r="CK241" s="4">
        <f t="shared" si="277"/>
        <v>0</v>
      </c>
      <c r="CM241" s="10">
        <f t="shared" si="278"/>
        <v>-367508.7749744821</v>
      </c>
      <c r="CN241" s="4">
        <f t="shared" si="279"/>
        <v>-73.50175499489642</v>
      </c>
    </row>
    <row r="242" spans="1:92" ht="15.75">
      <c r="A242" s="36"/>
      <c r="B242" s="37">
        <v>44470</v>
      </c>
      <c r="C242" s="77">
        <f aca="true" t="shared" si="407" ref="C242">VLOOKUP(B242,Kursy,C$2)</f>
        <v>4.2895</v>
      </c>
      <c r="D242" s="79">
        <f>C242*(1+Podsumowanie!E$11)</f>
        <v>4.418185</v>
      </c>
      <c r="E242" s="34">
        <f aca="true" t="shared" si="408" ref="E242">Z242</f>
        <v>-561.9501052426959</v>
      </c>
      <c r="F242" s="7">
        <f aca="true" t="shared" si="409" ref="F242">E242*D242</f>
        <v>-2482.7995257317007</v>
      </c>
      <c r="G242" s="7">
        <f aca="true" t="shared" si="410" ref="G242">U242</f>
        <v>-1239.429284821817</v>
      </c>
      <c r="H242" s="7">
        <f aca="true" t="shared" si="411" ref="H242">G242-F242</f>
        <v>1243.3702409098837</v>
      </c>
      <c r="I242" s="32"/>
      <c r="K242" s="4">
        <f>IF(B242&lt;Podsumowanie!E$7,0,K241+1)</f>
        <v>172</v>
      </c>
      <c r="L242" s="100">
        <f aca="true" t="shared" si="412" ref="L242">VLOOKUP(B242,Oproc,C$2)</f>
        <v>-0.0077</v>
      </c>
      <c r="M242" s="38">
        <f>L242+Podsumowanie!E$6</f>
        <v>0.0043</v>
      </c>
      <c r="N242" s="101">
        <f>MAX(Podsumowanie!E$4+SUM(AA$5:AA241)-SUM(X$5:X242)+SUM(W$5:W242),0)</f>
        <v>103199.1082527882</v>
      </c>
      <c r="O242" s="102">
        <f>MAX(Podsumowanie!E$2+SUM(V$5:V241)-SUM(S$5:S242)+SUM(R$5:R242),0)</f>
        <v>227614.5083748341</v>
      </c>
      <c r="P242" s="39">
        <f t="shared" si="401"/>
        <v>360</v>
      </c>
      <c r="Q242" s="40" t="str">
        <f>IF(AND(K242&gt;0,K242&lt;=Podsumowanie!E$9),"tak","nie")</f>
        <v>nie</v>
      </c>
      <c r="R242" s="41"/>
      <c r="S242" s="42"/>
      <c r="T242" s="88">
        <f aca="true" t="shared" si="413" ref="T242">IF(AB242=1,-O242*M242/12,0)</f>
        <v>-81.56186550098222</v>
      </c>
      <c r="U242" s="89">
        <f>IF(Q242="tak",T242,IF(P242-SUM(AB$5:AB242)+1&gt;0,IF(Podsumowanie!E$7&lt;B242,IF(SUM(AB$5:AB242)-Podsumowanie!E$9+1&gt;0,PMT(M242/12,P242+1-SUM(AB$5:AB242),O242),T242),0),0))</f>
        <v>-1239.429284821817</v>
      </c>
      <c r="V242" s="89">
        <f aca="true" t="shared" si="414" ref="V242">U242-T242</f>
        <v>-1157.8674193208346</v>
      </c>
      <c r="W242" s="90" t="str">
        <f>IF(R242&gt;0,R242/(C242*(1-Podsumowanie!E$11))," ")</f>
        <v xml:space="preserve"> </v>
      </c>
      <c r="X242" s="90">
        <f t="shared" si="266"/>
        <v>0</v>
      </c>
      <c r="Y242" s="91">
        <f aca="true" t="shared" si="415" ref="Y242">IF(AB242=1,-N242*M242/12,0)</f>
        <v>-36.9796804572491</v>
      </c>
      <c r="Z242" s="90">
        <f>IF(P242-SUM(AB$5:AB242)+1&gt;0,IF(Podsumowanie!E$7&lt;B242,IF(SUM(AB$5:AB242)-Podsumowanie!E$9+1&gt;0,PMT(M242/12,P242+1-SUM(AB$5:AB242),N242),Y242),0),0)</f>
        <v>-561.9501052426959</v>
      </c>
      <c r="AA242" s="90">
        <f aca="true" t="shared" si="416" ref="AA242">Z242-Y242</f>
        <v>-524.9704247854469</v>
      </c>
      <c r="AB242" s="8">
        <f>IF(AND(Podsumowanie!E$7&lt;B242,SUM(AB$5:AB241)&lt;P241),1," ")</f>
        <v>1</v>
      </c>
      <c r="AD242" s="51">
        <f>IF(OR(B242&lt;Podsumowanie!E$12,Podsumowanie!E$12=""),-F242+S242,0)</f>
        <v>0</v>
      </c>
      <c r="AE242" s="51">
        <f t="shared" si="267"/>
        <v>561.9501052426959</v>
      </c>
      <c r="AG242" s="10">
        <f>Podsumowanie!E$4-SUM(AI$5:AI241)+SUM(W$42:W242)-SUM(X$42:X242)</f>
        <v>95478.07813555244</v>
      </c>
      <c r="AH242" s="10">
        <f aca="true" t="shared" si="417" ref="AH242">IF(AB242=1,ROUND(AG242*M242/12,2),0)</f>
        <v>34.21</v>
      </c>
      <c r="AI242" s="10">
        <f aca="true" t="shared" si="418" ref="AI242">IF(Q242="tak",0,IF(AB242=1,ROUND(AG242/(P242-K242+1),2),0))</f>
        <v>505.18</v>
      </c>
      <c r="AJ242" s="10">
        <f aca="true" t="shared" si="419" ref="AJ242">AI242+AH242</f>
        <v>539.39</v>
      </c>
      <c r="AK242" s="10">
        <f aca="true" t="shared" si="420" ref="AK242">ROUND(AJ242*D242,2)</f>
        <v>2383.12</v>
      </c>
      <c r="AL242" s="10">
        <f>Podsumowanie!E$2-SUM(AN$5:AN241)+SUM(R$42:R242)-SUM(S$42:S242)</f>
        <v>210584.73999999976</v>
      </c>
      <c r="AM242" s="10">
        <f aca="true" t="shared" si="421" ref="AM242">IF(AB242=1,ROUND(AL242*M242/12,2),0)</f>
        <v>75.46</v>
      </c>
      <c r="AN242" s="10">
        <f aca="true" t="shared" si="422" ref="AN242">IF(Q242="tak",0,IF(AB242=1,ROUND(AL242/(P242-K242+1),2),0))</f>
        <v>1114.2</v>
      </c>
      <c r="AO242" s="10">
        <f aca="true" t="shared" si="423" ref="AO242">AN242+AM242</f>
        <v>1189.66</v>
      </c>
      <c r="AP242" s="10">
        <f aca="true" t="shared" si="424" ref="AP242">AK242-AO242</f>
        <v>1193.4599999999998</v>
      </c>
      <c r="AR242" s="43">
        <f aca="true" t="shared" si="425" ref="AR242">B242</f>
        <v>44470</v>
      </c>
      <c r="AS242" s="11">
        <f>AS$5+SUM(AV$5:AV241)-SUM(X$5:X242)+SUM(W$5:W242)</f>
        <v>100103.13500520453</v>
      </c>
      <c r="AT242" s="10">
        <f aca="true" t="shared" si="426" ref="AT242">IF(AB242=1,-AS242*M242/12,0)</f>
        <v>-35.870290043531625</v>
      </c>
      <c r="AU242" s="10">
        <f>IF(AB242=1,IF(Q242="tak",AT242,PMT(M242/12,P242+1-SUM(AB$5:AB242),AS242)),0)</f>
        <v>-545.0916020854149</v>
      </c>
      <c r="AV242" s="10">
        <f aca="true" t="shared" si="427" ref="AV242">AU242-AT242</f>
        <v>-509.2213120418833</v>
      </c>
      <c r="AW242" s="10">
        <f aca="true" t="shared" si="428" ref="AW242">AU242*C242</f>
        <v>-2338.1704271453877</v>
      </c>
      <c r="AY242" s="11">
        <f>AY$5+SUM(BA$5:BA241)+SUM(W$5:W241)-SUM(X$5:X241)</f>
        <v>92613.56719148566</v>
      </c>
      <c r="AZ242" s="11">
        <f aca="true" t="shared" si="429" ref="AZ242">IF(AB242=1,-AS242*M242/12,0)</f>
        <v>-35.870290043531625</v>
      </c>
      <c r="BA242" s="11">
        <f aca="true" t="shared" si="430" ref="BA242">IF(AB242=1,IF(Q242="tak",0,ROUND(-AY242/(P242-K242+1),2)),0)</f>
        <v>-490.02</v>
      </c>
      <c r="BB242" s="11">
        <f aca="true" t="shared" si="431" ref="BB242">BA242+AZ242</f>
        <v>-525.8902900435316</v>
      </c>
      <c r="BC242" s="11">
        <f aca="true" t="shared" si="432" ref="BC242">BB242*C242</f>
        <v>-2255.8063991417293</v>
      </c>
      <c r="BE242" s="172">
        <f t="shared" si="262"/>
        <v>0.0061</v>
      </c>
      <c r="BF242" s="44">
        <f>BE242+Podsumowanie!$E$6</f>
        <v>0.0181</v>
      </c>
      <c r="BG242" s="11">
        <f>BG$5+SUM(BH$5:BH241)+SUM(R$5:R241)-SUM(S$5:S241)</f>
        <v>266483.46448803955</v>
      </c>
      <c r="BH242" s="10">
        <f aca="true" t="shared" si="433" ref="BH242">IF(BJ242&lt;0,BJ242-BI242,0)</f>
        <v>-1212.208023198111</v>
      </c>
      <c r="BI242" s="10">
        <f aca="true" t="shared" si="434" ref="BI242">IF(BJ242&lt;0,-BG242*BF242/12,0)</f>
        <v>-401.94589226945965</v>
      </c>
      <c r="BJ242" s="10">
        <f>IF(U242&lt;0,PMT(BF242/12,Podsumowanie!E$8-SUM(AB$5:AB242)+1,BG242),0)</f>
        <v>-1614.1539154675706</v>
      </c>
      <c r="BL242" s="11">
        <f>BL$5+SUM(BN$5:BN241)+SUM(R$5:R241)-SUM(S$5:S241)</f>
        <v>210584.95821727053</v>
      </c>
      <c r="BM242" s="11">
        <f aca="true" t="shared" si="435" ref="BM242">IF(AB242=1,-BF242*BL242/12,0)</f>
        <v>-317.63231197771637</v>
      </c>
      <c r="BN242" s="11">
        <f aca="true" t="shared" si="436" ref="BN242">IF(AB242=1,-BL242/(P242-K242+1),0)</f>
        <v>-1114.2061281337064</v>
      </c>
      <c r="BO242" s="11">
        <f aca="true" t="shared" si="437" ref="BO242">BN242+BM242</f>
        <v>-1431.8384401114229</v>
      </c>
      <c r="BQ242" s="44">
        <f t="shared" si="263"/>
        <v>0.0182</v>
      </c>
      <c r="BR242" s="11">
        <f>BR$5+SUM(BS$5:BS241)+SUM(R$5:R241)-SUM(S$5:S241)+SUM(BV$5:BV241)</f>
        <v>255505.9619874495</v>
      </c>
      <c r="BS242" s="10">
        <f aca="true" t="shared" si="438" ref="BS242">IF(BU242&lt;0,BU242-BT242,0)</f>
        <v>-1161.314982895577</v>
      </c>
      <c r="BT242" s="10">
        <f aca="true" t="shared" si="439" ref="BT242">IF(BU242&lt;0,-BR242*BQ242/12,0)</f>
        <v>-387.51737568096513</v>
      </c>
      <c r="BU242" s="10">
        <f>IF(U242&lt;0,PMT(BQ242/12,Podsumowanie!E$8-SUM(AB$5:AB242)+1,BR242),0)</f>
        <v>-1548.8323585765422</v>
      </c>
      <c r="BV242" s="10">
        <f t="shared" si="268"/>
        <v>-933.9671671551584</v>
      </c>
      <c r="BX242" s="11">
        <f>BX$5+SUM(BZ$5:BZ241)+SUM(R$5:R241)-SUM(S$5:S241)+SUM(CB$5,CB241)</f>
        <v>209598.08624037777</v>
      </c>
      <c r="BY242" s="10">
        <f t="shared" si="264"/>
        <v>-317.8904307979063</v>
      </c>
      <c r="BZ242" s="10">
        <f t="shared" si="265"/>
        <v>-1108.9845832824221</v>
      </c>
      <c r="CA242" s="10">
        <f aca="true" t="shared" si="440" ref="CA242">BZ242+BY242</f>
        <v>-1426.8750140803284</v>
      </c>
      <c r="CB242" s="10">
        <f aca="true" t="shared" si="441" ref="CB242">$F242-CA242</f>
        <v>-1055.9245116513723</v>
      </c>
      <c r="CD242" s="10">
        <f>CD$5+SUM(CE$5:CE241)+SUM(R$5:R241)-SUM(S$5:S241)-SUM(CF$5:CF241)</f>
        <v>223945.81217187253</v>
      </c>
      <c r="CE242" s="10">
        <f t="shared" si="269"/>
        <v>317.8904307979063</v>
      </c>
      <c r="CF242" s="10">
        <f t="shared" si="270"/>
        <v>2482.7995257317007</v>
      </c>
      <c r="CG242" s="10">
        <f t="shared" si="271"/>
        <v>2164.909094933794</v>
      </c>
      <c r="CI242" s="44">
        <v>0.2761</v>
      </c>
      <c r="CJ242" s="10">
        <f t="shared" si="272"/>
        <v>-685.5</v>
      </c>
      <c r="CK242" s="4">
        <f t="shared" si="277"/>
        <v>0</v>
      </c>
      <c r="CM242" s="10">
        <f t="shared" si="278"/>
        <v>-369991.5745002138</v>
      </c>
      <c r="CN242" s="4">
        <f t="shared" si="279"/>
        <v>-188.079050370942</v>
      </c>
    </row>
    <row r="243" spans="1:92" ht="15.75">
      <c r="A243" s="36"/>
      <c r="B243" s="37">
        <v>44501</v>
      </c>
      <c r="C243" s="77">
        <f aca="true" t="shared" si="442" ref="C243">VLOOKUP(B243,Kursy,C$2)</f>
        <v>4.4221</v>
      </c>
      <c r="D243" s="79">
        <f>C243*(1+Podsumowanie!E$11)</f>
        <v>4.554763</v>
      </c>
      <c r="E243" s="34">
        <f aca="true" t="shared" si="443" ref="E243">Z243</f>
        <v>-561.9501052426959</v>
      </c>
      <c r="F243" s="7">
        <f aca="true" t="shared" si="444" ref="F243">E243*D243</f>
        <v>-2559.5495472055377</v>
      </c>
      <c r="G243" s="7">
        <f aca="true" t="shared" si="445" ref="G243">U243</f>
        <v>-1239.429284821817</v>
      </c>
      <c r="H243" s="7">
        <f aca="true" t="shared" si="446" ref="H243">G243-F243</f>
        <v>1320.1202623837207</v>
      </c>
      <c r="I243" s="32"/>
      <c r="K243" s="4">
        <f>IF(B243&lt;Podsumowanie!E$7,0,K242+1)</f>
        <v>173</v>
      </c>
      <c r="L243" s="100">
        <f aca="true" t="shared" si="447" ref="L243">VLOOKUP(B243,Oproc,C$2)</f>
        <v>-0.0077</v>
      </c>
      <c r="M243" s="38">
        <f>L243+Podsumowanie!E$6</f>
        <v>0.0043</v>
      </c>
      <c r="N243" s="101">
        <f>MAX(Podsumowanie!E$4+SUM(AA$5:AA242)-SUM(X$5:X243)+SUM(W$5:W243),0)</f>
        <v>102674.13782800274</v>
      </c>
      <c r="O243" s="102">
        <f>MAX(Podsumowanie!E$2+SUM(V$5:V242)-SUM(S$5:S243)+SUM(R$5:R243),0)</f>
        <v>226456.64095551329</v>
      </c>
      <c r="P243" s="39">
        <f t="shared" si="401"/>
        <v>360</v>
      </c>
      <c r="Q243" s="40" t="str">
        <f>IF(AND(K243&gt;0,K243&lt;=Podsumowanie!E$9),"tak","nie")</f>
        <v>nie</v>
      </c>
      <c r="R243" s="41"/>
      <c r="S243" s="42"/>
      <c r="T243" s="88">
        <f aca="true" t="shared" si="448" ref="T243">IF(AB243=1,-O243*M243/12,0)</f>
        <v>-81.14696300905892</v>
      </c>
      <c r="U243" s="89">
        <f>IF(Q243="tak",T243,IF(P243-SUM(AB$5:AB243)+1&gt;0,IF(Podsumowanie!E$7&lt;B243,IF(SUM(AB$5:AB243)-Podsumowanie!E$9+1&gt;0,PMT(M243/12,P243+1-SUM(AB$5:AB243),O243),T243),0),0))</f>
        <v>-1239.429284821817</v>
      </c>
      <c r="V243" s="89">
        <f aca="true" t="shared" si="449" ref="V243">U243-T243</f>
        <v>-1158.282321812758</v>
      </c>
      <c r="W243" s="90" t="str">
        <f>IF(R243&gt;0,R243/(C243*(1-Podsumowanie!E$11))," ")</f>
        <v xml:space="preserve"> </v>
      </c>
      <c r="X243" s="90">
        <f t="shared" si="266"/>
        <v>0</v>
      </c>
      <c r="Y243" s="91">
        <f aca="true" t="shared" si="450" ref="Y243">IF(AB243=1,-N243*M243/12,0)</f>
        <v>-36.791566055034316</v>
      </c>
      <c r="Z243" s="90">
        <f>IF(P243-SUM(AB$5:AB243)+1&gt;0,IF(Podsumowanie!E$7&lt;B243,IF(SUM(AB$5:AB243)-Podsumowanie!E$9+1&gt;0,PMT(M243/12,P243+1-SUM(AB$5:AB243),N243),Y243),0),0)</f>
        <v>-561.9501052426959</v>
      </c>
      <c r="AA243" s="90">
        <f aca="true" t="shared" si="451" ref="AA243">Z243-Y243</f>
        <v>-525.1585391876616</v>
      </c>
      <c r="AB243" s="8">
        <f>IF(AND(Podsumowanie!E$7&lt;B243,SUM(AB$5:AB242)&lt;P242),1," ")</f>
        <v>1</v>
      </c>
      <c r="AD243" s="51">
        <f>IF(OR(B243&lt;Podsumowanie!E$12,Podsumowanie!E$12=""),-F243+S243,0)</f>
        <v>0</v>
      </c>
      <c r="AE243" s="51">
        <f t="shared" si="267"/>
        <v>561.9501052426959</v>
      </c>
      <c r="AG243" s="10">
        <f>Podsumowanie!E$4-SUM(AI$5:AI242)+SUM(W$42:W243)-SUM(X$42:X243)</f>
        <v>94972.89813555244</v>
      </c>
      <c r="AH243" s="10">
        <f aca="true" t="shared" si="452" ref="AH243">IF(AB243=1,ROUND(AG243*M243/12,2),0)</f>
        <v>34.03</v>
      </c>
      <c r="AI243" s="10">
        <f aca="true" t="shared" si="453" ref="AI243">IF(Q243="tak",0,IF(AB243=1,ROUND(AG243/(P243-K243+1),2),0))</f>
        <v>505.17</v>
      </c>
      <c r="AJ243" s="10">
        <f aca="true" t="shared" si="454" ref="AJ243">AI243+AH243</f>
        <v>539.2</v>
      </c>
      <c r="AK243" s="10">
        <f aca="true" t="shared" si="455" ref="AK243">ROUND(AJ243*D243,2)</f>
        <v>2455.93</v>
      </c>
      <c r="AL243" s="10">
        <f>Podsumowanie!E$2-SUM(AN$5:AN242)+SUM(R$42:R243)-SUM(S$42:S243)</f>
        <v>209470.53999999975</v>
      </c>
      <c r="AM243" s="10">
        <f aca="true" t="shared" si="456" ref="AM243">IF(AB243=1,ROUND(AL243*M243/12,2),0)</f>
        <v>75.06</v>
      </c>
      <c r="AN243" s="10">
        <f aca="true" t="shared" si="457" ref="AN243">IF(Q243="tak",0,IF(AB243=1,ROUND(AL243/(P243-K243+1),2),0))</f>
        <v>1114.21</v>
      </c>
      <c r="AO243" s="10">
        <f aca="true" t="shared" si="458" ref="AO243">AN243+AM243</f>
        <v>1189.27</v>
      </c>
      <c r="AP243" s="10">
        <f aca="true" t="shared" si="459" ref="AP243">AK243-AO243</f>
        <v>1266.6599999999999</v>
      </c>
      <c r="AR243" s="43">
        <f aca="true" t="shared" si="460" ref="AR243">B243</f>
        <v>44501</v>
      </c>
      <c r="AS243" s="11">
        <f>AS$5+SUM(AV$5:AV242)-SUM(X$5:X243)+SUM(W$5:W243)</f>
        <v>99593.91369316264</v>
      </c>
      <c r="AT243" s="10">
        <f aca="true" t="shared" si="461" ref="AT243">IF(AB243=1,-AS243*M243/12,0)</f>
        <v>-35.68781907338328</v>
      </c>
      <c r="AU243" s="10">
        <f>IF(AB243=1,IF(Q243="tak",AT243,PMT(M243/12,P243+1-SUM(AB$5:AB243),AS243)),0)</f>
        <v>-545.0916020854149</v>
      </c>
      <c r="AV243" s="10">
        <f aca="true" t="shared" si="462" ref="AV243">AU243-AT243</f>
        <v>-509.4037830120317</v>
      </c>
      <c r="AW243" s="10">
        <f aca="true" t="shared" si="463" ref="AW243">AU243*C243</f>
        <v>-2410.4495735819137</v>
      </c>
      <c r="AY243" s="11">
        <f>AY$5+SUM(BA$5:BA242)+SUM(W$5:W242)-SUM(X$5:X242)</f>
        <v>92123.54719148566</v>
      </c>
      <c r="AZ243" s="11">
        <f aca="true" t="shared" si="464" ref="AZ243">IF(AB243=1,-AS243*M243/12,0)</f>
        <v>-35.68781907338328</v>
      </c>
      <c r="BA243" s="11">
        <f aca="true" t="shared" si="465" ref="BA243">IF(AB243=1,IF(Q243="tak",0,ROUND(-AY243/(P243-K243+1),2)),0)</f>
        <v>-490.02</v>
      </c>
      <c r="BB243" s="11">
        <f aca="true" t="shared" si="466" ref="BB243">BA243+AZ243</f>
        <v>-525.7078190733832</v>
      </c>
      <c r="BC243" s="11">
        <f aca="true" t="shared" si="467" ref="BC243">BB243*C243</f>
        <v>-2324.732546724408</v>
      </c>
      <c r="BE243" s="172">
        <f t="shared" si="262"/>
        <v>0.0159</v>
      </c>
      <c r="BF243" s="44">
        <f>BE243+Podsumowanie!$E$6</f>
        <v>0.0279</v>
      </c>
      <c r="BG243" s="11">
        <f>BG$5+SUM(BH$5:BH242)+SUM(R$5:R242)-SUM(S$5:S242)</f>
        <v>265271.2564648414</v>
      </c>
      <c r="BH243" s="10">
        <f aca="true" t="shared" si="468" ref="BH243">IF(BJ243&lt;0,BJ243-BI243,0)</f>
        <v>-1119.2912906912911</v>
      </c>
      <c r="BI243" s="10">
        <f aca="true" t="shared" si="469" ref="BI243">IF(BJ243&lt;0,-BG243*BF243/12,0)</f>
        <v>-616.7556712807564</v>
      </c>
      <c r="BJ243" s="10">
        <f>IF(U243&lt;0,PMT(BF243/12,Podsumowanie!E$8-SUM(AB$5:AB243)+1,BG243),0)</f>
        <v>-1736.0469619720475</v>
      </c>
      <c r="BL243" s="11">
        <f>BL$5+SUM(BN$5:BN242)+SUM(R$5:R242)-SUM(S$5:S242)</f>
        <v>209470.75208913683</v>
      </c>
      <c r="BM243" s="11">
        <f aca="true" t="shared" si="470" ref="BM243">IF(AB243=1,-BF243*BL243/12,0)</f>
        <v>-487.0194986072431</v>
      </c>
      <c r="BN243" s="11">
        <f aca="true" t="shared" si="471" ref="BN243">IF(AB243=1,-BL243/(P243-K243+1),0)</f>
        <v>-1114.2061281337067</v>
      </c>
      <c r="BO243" s="11">
        <f aca="true" t="shared" si="472" ref="BO243">BN243+BM243</f>
        <v>-1601.2256267409498</v>
      </c>
      <c r="BQ243" s="44">
        <f t="shared" si="263"/>
        <v>0.028</v>
      </c>
      <c r="BR243" s="11">
        <f>BR$5+SUM(BS$5:BS242)+SUM(R$5:R242)-SUM(S$5:S242)+SUM(BV$5:BV242)</f>
        <v>253410.67983739875</v>
      </c>
      <c r="BS243" s="10">
        <f aca="true" t="shared" si="473" ref="BS243">IF(BU243&lt;0,BU243-BT243,0)</f>
        <v>-1068.3498981620614</v>
      </c>
      <c r="BT243" s="10">
        <f aca="true" t="shared" si="474" ref="BT243">IF(BU243&lt;0,-BR243*BQ243/12,0)</f>
        <v>-591.2915862872638</v>
      </c>
      <c r="BU243" s="10">
        <f>IF(U243&lt;0,PMT(BQ243/12,Podsumowanie!E$8-SUM(AB$5:AB243)+1,BR243),0)</f>
        <v>-1659.6414844493254</v>
      </c>
      <c r="BV243" s="10">
        <f t="shared" si="268"/>
        <v>-899.9080627562123</v>
      </c>
      <c r="BX243" s="11">
        <f>BX$5+SUM(BZ$5:BZ242)+SUM(R$5:R242)-SUM(S$5:S242)+SUM(CB$5,CB242)</f>
        <v>208503.25673472165</v>
      </c>
      <c r="BY243" s="10">
        <f t="shared" si="264"/>
        <v>-486.50759904768387</v>
      </c>
      <c r="BZ243" s="10">
        <f t="shared" si="265"/>
        <v>-1109.0598762485195</v>
      </c>
      <c r="CA243" s="10">
        <f aca="true" t="shared" si="475" ref="CA243">BZ243+BY243</f>
        <v>-1595.5674752962034</v>
      </c>
      <c r="CB243" s="10">
        <f aca="true" t="shared" si="476" ref="CB243">$F243-CA243</f>
        <v>-963.9820719093343</v>
      </c>
      <c r="CD243" s="10">
        <f>CD$5+SUM(CE$5:CE242)+SUM(R$5:R242)-SUM(S$5:S242)-SUM(CF$5:CF242)</f>
        <v>221780.90307693876</v>
      </c>
      <c r="CE243" s="10">
        <f t="shared" si="269"/>
        <v>486.50759904768387</v>
      </c>
      <c r="CF243" s="10">
        <f t="shared" si="270"/>
        <v>2559.5495472055377</v>
      </c>
      <c r="CG243" s="10">
        <f t="shared" si="271"/>
        <v>2073.0419481578538</v>
      </c>
      <c r="CI243" s="44">
        <v>0.2622</v>
      </c>
      <c r="CJ243" s="10">
        <f t="shared" si="272"/>
        <v>-671.11</v>
      </c>
      <c r="CK243" s="4">
        <f t="shared" si="277"/>
        <v>0</v>
      </c>
      <c r="CM243" s="10">
        <f t="shared" si="278"/>
        <v>-372551.12404741935</v>
      </c>
      <c r="CN243" s="4">
        <f t="shared" si="279"/>
        <v>-493.63023936283065</v>
      </c>
    </row>
    <row r="244" spans="1:92" ht="15.75">
      <c r="A244" s="36"/>
      <c r="B244" s="37">
        <v>44531</v>
      </c>
      <c r="C244" s="77">
        <f aca="true" t="shared" si="477" ref="C244">VLOOKUP(B244,Kursy,C$2)</f>
        <v>4.4354</v>
      </c>
      <c r="D244" s="79">
        <f>C244*(1+Podsumowanie!E$11)</f>
        <v>4.568461999999999</v>
      </c>
      <c r="E244" s="34">
        <f aca="true" t="shared" si="478" ref="E244">Z244</f>
        <v>-561.9501052426959</v>
      </c>
      <c r="F244" s="7">
        <f aca="true" t="shared" si="479" ref="F244">E244*D244</f>
        <v>-2567.2477016972566</v>
      </c>
      <c r="G244" s="7">
        <f aca="true" t="shared" si="480" ref="G244">U244</f>
        <v>-1239.4292848218167</v>
      </c>
      <c r="H244" s="7">
        <f aca="true" t="shared" si="481" ref="H244">G244-F244</f>
        <v>1327.8184168754399</v>
      </c>
      <c r="I244" s="32"/>
      <c r="K244" s="4">
        <f>IF(B244&lt;Podsumowanie!E$7,0,K243+1)</f>
        <v>174</v>
      </c>
      <c r="L244" s="100">
        <f aca="true" t="shared" si="482" ref="L244">VLOOKUP(B244,Oproc,C$2)</f>
        <v>-0.0077</v>
      </c>
      <c r="M244" s="38">
        <f>L244+Podsumowanie!E$6</f>
        <v>0.0043</v>
      </c>
      <c r="N244" s="101">
        <f>MAX(Podsumowanie!E$4+SUM(AA$5:AA243)-SUM(X$5:X244)+SUM(W$5:W244),0)</f>
        <v>102148.97928881508</v>
      </c>
      <c r="O244" s="102">
        <f>MAX(Podsumowanie!E$2+SUM(V$5:V243)-SUM(S$5:S244)+SUM(R$5:R244),0)</f>
        <v>225298.35863370053</v>
      </c>
      <c r="P244" s="39">
        <f t="shared" si="401"/>
        <v>360</v>
      </c>
      <c r="Q244" s="40" t="str">
        <f>IF(AND(K244&gt;0,K244&lt;=Podsumowanie!E$9),"tak","nie")</f>
        <v>nie</v>
      </c>
      <c r="R244" s="41"/>
      <c r="S244" s="42"/>
      <c r="T244" s="88">
        <f aca="true" t="shared" si="483" ref="T244">IF(AB244=1,-O244*M244/12,0)</f>
        <v>-80.73191184374268</v>
      </c>
      <c r="U244" s="89">
        <f>IF(Q244="tak",T244,IF(P244-SUM(AB$5:AB244)+1&gt;0,IF(Podsumowanie!E$7&lt;B244,IF(SUM(AB$5:AB244)-Podsumowanie!E$9+1&gt;0,PMT(M244/12,P244+1-SUM(AB$5:AB244),O244),T244),0),0))</f>
        <v>-1239.4292848218167</v>
      </c>
      <c r="V244" s="89">
        <f aca="true" t="shared" si="484" ref="V244">U244-T244</f>
        <v>-1158.697372978074</v>
      </c>
      <c r="W244" s="90" t="str">
        <f>IF(R244&gt;0,R244/(C244*(1-Podsumowanie!E$11))," ")</f>
        <v xml:space="preserve"> </v>
      </c>
      <c r="X244" s="90">
        <f t="shared" si="266"/>
        <v>0</v>
      </c>
      <c r="Y244" s="91">
        <f aca="true" t="shared" si="485" ref="Y244">IF(AB244=1,-N244*M244/12,0)</f>
        <v>-36.60338424515874</v>
      </c>
      <c r="Z244" s="90">
        <f>IF(P244-SUM(AB$5:AB244)+1&gt;0,IF(Podsumowanie!E$7&lt;B244,IF(SUM(AB$5:AB244)-Podsumowanie!E$9+1&gt;0,PMT(M244/12,P244+1-SUM(AB$5:AB244),N244),Y244),0),0)</f>
        <v>-561.9501052426959</v>
      </c>
      <c r="AA244" s="90">
        <f aca="true" t="shared" si="486" ref="AA244">Z244-Y244</f>
        <v>-525.3467209975372</v>
      </c>
      <c r="AB244" s="8">
        <f>IF(AND(Podsumowanie!E$7&lt;B244,SUM(AB$5:AB243)&lt;P243),1," ")</f>
        <v>1</v>
      </c>
      <c r="AD244" s="51">
        <f>IF(OR(B244&lt;Podsumowanie!E$12,Podsumowanie!E$12=""),-F244+S244,0)</f>
        <v>0</v>
      </c>
      <c r="AE244" s="51">
        <f t="shared" si="267"/>
        <v>561.9501052426959</v>
      </c>
      <c r="AG244" s="10">
        <f>Podsumowanie!E$4-SUM(AI$5:AI243)+SUM(W$42:W244)-SUM(X$42:X244)</f>
        <v>94467.72813555245</v>
      </c>
      <c r="AH244" s="10">
        <f aca="true" t="shared" si="487" ref="AH244">IF(AB244=1,ROUND(AG244*M244/12,2),0)</f>
        <v>33.85</v>
      </c>
      <c r="AI244" s="10">
        <f aca="true" t="shared" si="488" ref="AI244">IF(Q244="tak",0,IF(AB244=1,ROUND(AG244/(P244-K244+1),2),0))</f>
        <v>505.18</v>
      </c>
      <c r="AJ244" s="10">
        <f aca="true" t="shared" si="489" ref="AJ244">AI244+AH244</f>
        <v>539.03</v>
      </c>
      <c r="AK244" s="10">
        <f aca="true" t="shared" si="490" ref="AK244">ROUND(AJ244*D244,2)</f>
        <v>2462.54</v>
      </c>
      <c r="AL244" s="10">
        <f>Podsumowanie!E$2-SUM(AN$5:AN243)+SUM(R$42:R244)-SUM(S$42:S244)</f>
        <v>208356.32999999975</v>
      </c>
      <c r="AM244" s="10">
        <f aca="true" t="shared" si="491" ref="AM244">IF(AB244=1,ROUND(AL244*M244/12,2),0)</f>
        <v>74.66</v>
      </c>
      <c r="AN244" s="10">
        <f aca="true" t="shared" si="492" ref="AN244">IF(Q244="tak",0,IF(AB244=1,ROUND(AL244/(P244-K244+1),2),0))</f>
        <v>1114.2</v>
      </c>
      <c r="AO244" s="10">
        <f aca="true" t="shared" si="493" ref="AO244">AN244+AM244</f>
        <v>1188.8600000000001</v>
      </c>
      <c r="AP244" s="10">
        <f aca="true" t="shared" si="494" ref="AP244">AK244-AO244</f>
        <v>1273.6799999999998</v>
      </c>
      <c r="AR244" s="43">
        <f aca="true" t="shared" si="495" ref="AR244">B244</f>
        <v>44531</v>
      </c>
      <c r="AS244" s="11">
        <f>AS$5+SUM(AV$5:AV243)-SUM(X$5:X244)+SUM(W$5:W244)</f>
        <v>99084.5099101506</v>
      </c>
      <c r="AT244" s="10">
        <f aca="true" t="shared" si="496" ref="AT244">IF(AB244=1,-AS244*M244/12,0)</f>
        <v>-35.505282717803965</v>
      </c>
      <c r="AU244" s="10">
        <f>IF(AB244=1,IF(Q244="tak",AT244,PMT(M244/12,P244+1-SUM(AB$5:AB244),AS244)),0)</f>
        <v>-545.0916020854148</v>
      </c>
      <c r="AV244" s="10">
        <f aca="true" t="shared" si="497" ref="AV244">AU244-AT244</f>
        <v>-509.5863193676108</v>
      </c>
      <c r="AW244" s="10">
        <f aca="true" t="shared" si="498" ref="AW244">AU244*C244</f>
        <v>-2417.6992918896485</v>
      </c>
      <c r="AY244" s="11">
        <f>AY$5+SUM(BA$5:BA243)+SUM(W$5:W243)-SUM(X$5:X243)</f>
        <v>91633.52719148566</v>
      </c>
      <c r="AZ244" s="11">
        <f aca="true" t="shared" si="499" ref="AZ244">IF(AB244=1,-AS244*M244/12,0)</f>
        <v>-35.505282717803965</v>
      </c>
      <c r="BA244" s="11">
        <f aca="true" t="shared" si="500" ref="BA244">IF(AB244=1,IF(Q244="tak",0,ROUND(-AY244/(P244-K244+1),2)),0)</f>
        <v>-490.02</v>
      </c>
      <c r="BB244" s="11">
        <f aca="true" t="shared" si="501" ref="BB244">BA244+AZ244</f>
        <v>-525.525282717804</v>
      </c>
      <c r="BC244" s="11">
        <f aca="true" t="shared" si="502" ref="BC244">BB244*C244</f>
        <v>-2330.9148389665474</v>
      </c>
      <c r="BE244" s="172">
        <f t="shared" si="262"/>
        <v>0.0234</v>
      </c>
      <c r="BF244" s="44">
        <f>BE244+Podsumowanie!$E$6</f>
        <v>0.0354</v>
      </c>
      <c r="BG244" s="11">
        <f>BG$5+SUM(BH$5:BH243)+SUM(R$5:R243)-SUM(S$5:S243)</f>
        <v>264151.96517415013</v>
      </c>
      <c r="BH244" s="10">
        <f aca="true" t="shared" si="503" ref="BH244">IF(BJ244&lt;0,BJ244-BI244,0)</f>
        <v>-1053.2897136132242</v>
      </c>
      <c r="BI244" s="10">
        <f aca="true" t="shared" si="504" ref="BI244">IF(BJ244&lt;0,-BG244*BF244/12,0)</f>
        <v>-779.248297263743</v>
      </c>
      <c r="BJ244" s="10">
        <f>IF(U244&lt;0,PMT(BF244/12,Podsumowanie!E$8-SUM(AB$5:AB244)+1,BG244),0)</f>
        <v>-1832.538010876967</v>
      </c>
      <c r="BL244" s="11">
        <f>BL$5+SUM(BN$5:BN243)+SUM(R$5:R243)-SUM(S$5:S243)</f>
        <v>208356.54596100314</v>
      </c>
      <c r="BM244" s="11">
        <f aca="true" t="shared" si="505" ref="BM244">IF(AB244=1,-BF244*BL244/12,0)</f>
        <v>-614.6518105849592</v>
      </c>
      <c r="BN244" s="11">
        <f aca="true" t="shared" si="506" ref="BN244">IF(AB244=1,-BL244/(P244-K244+1),0)</f>
        <v>-1114.2061281337067</v>
      </c>
      <c r="BO244" s="11">
        <f aca="true" t="shared" si="507" ref="BO244">BN244+BM244</f>
        <v>-1728.857938718666</v>
      </c>
      <c r="BQ244" s="44">
        <f t="shared" si="263"/>
        <v>0.035500000000000004</v>
      </c>
      <c r="BR244" s="11">
        <f>BR$5+SUM(BS$5:BS243)+SUM(R$5:R243)-SUM(S$5:S243)+SUM(BV$5:BV243)</f>
        <v>251442.42187648048</v>
      </c>
      <c r="BS244" s="10">
        <f aca="true" t="shared" si="508" ref="BS244">IF(BU244&lt;0,BU244-BT244,0)</f>
        <v>-1001.7606458161649</v>
      </c>
      <c r="BT244" s="10">
        <f aca="true" t="shared" si="509" ref="BT244">IF(BU244&lt;0,-BR244*BQ244/12,0)</f>
        <v>-743.8504980512548</v>
      </c>
      <c r="BU244" s="10">
        <f>IF(U244&lt;0,PMT(BQ244/12,Podsumowanie!E$8-SUM(AB$5:AB244)+1,BR244),0)</f>
        <v>-1745.6111438674197</v>
      </c>
      <c r="BV244" s="10">
        <f t="shared" si="268"/>
        <v>-821.6365578298369</v>
      </c>
      <c r="BX244" s="11">
        <f>BX$5+SUM(BZ$5:BZ243)+SUM(R$5:R243)-SUM(S$5:S243)+SUM(CB$5,CB243)</f>
        <v>207486.13929821516</v>
      </c>
      <c r="BY244" s="10">
        <f t="shared" si="264"/>
        <v>-613.8131620905532</v>
      </c>
      <c r="BZ244" s="10">
        <f t="shared" si="265"/>
        <v>-1109.551547049279</v>
      </c>
      <c r="CA244" s="10">
        <f aca="true" t="shared" si="510" ref="CA244">BZ244+BY244</f>
        <v>-1723.364709139832</v>
      </c>
      <c r="CB244" s="10">
        <f aca="true" t="shared" si="511" ref="CB244">$F244-CA244</f>
        <v>-843.8829925574246</v>
      </c>
      <c r="CD244" s="10">
        <f>CD$5+SUM(CE$5:CE243)+SUM(R$5:R243)-SUM(S$5:S243)-SUM(CF$5:CF243)</f>
        <v>219707.86112878082</v>
      </c>
      <c r="CE244" s="10">
        <f t="shared" si="269"/>
        <v>613.8131620905532</v>
      </c>
      <c r="CF244" s="10">
        <f t="shared" si="270"/>
        <v>2567.2477016972566</v>
      </c>
      <c r="CG244" s="10">
        <f t="shared" si="271"/>
        <v>1953.4345396067033</v>
      </c>
      <c r="CI244" s="44">
        <v>0.2497</v>
      </c>
      <c r="CJ244" s="10">
        <f t="shared" si="272"/>
        <v>-641.04</v>
      </c>
      <c r="CK244" s="4">
        <f t="shared" si="277"/>
        <v>0</v>
      </c>
      <c r="CM244" s="10">
        <f t="shared" si="278"/>
        <v>-375118.37174911663</v>
      </c>
      <c r="CN244" s="4">
        <f t="shared" si="279"/>
        <v>-731.4808249107774</v>
      </c>
    </row>
    <row r="245" spans="1:92" ht="15.75">
      <c r="A245" s="36">
        <v>2022</v>
      </c>
      <c r="B245" s="37">
        <v>44562</v>
      </c>
      <c r="C245" s="77">
        <f aca="true" t="shared" si="512" ref="C245">VLOOKUP(B245,Kursy,C$2)</f>
        <v>4.3818</v>
      </c>
      <c r="D245" s="79">
        <f>C245*(1+Podsumowanie!E$11)</f>
        <v>4.513254</v>
      </c>
      <c r="E245" s="34">
        <f aca="true" t="shared" si="513" ref="E245">Z245</f>
        <v>-561.9501052426959</v>
      </c>
      <c r="F245" s="7">
        <f aca="true" t="shared" si="514" ref="F245">E245*D245</f>
        <v>-2536.2235602870182</v>
      </c>
      <c r="G245" s="7">
        <f aca="true" t="shared" si="515" ref="G245">U245</f>
        <v>-1239.4292848218167</v>
      </c>
      <c r="H245" s="7">
        <f aca="true" t="shared" si="516" ref="H245">G245-F245</f>
        <v>1296.7942754652015</v>
      </c>
      <c r="I245" s="32"/>
      <c r="K245" s="4">
        <f>IF(B245&lt;Podsumowanie!E$7,0,K244+1)</f>
        <v>175</v>
      </c>
      <c r="L245" s="100">
        <f aca="true" t="shared" si="517" ref="L245">VLOOKUP(B245,Oproc,C$2)</f>
        <v>-0.0077</v>
      </c>
      <c r="M245" s="38">
        <f>L245+Podsumowanie!E$6</f>
        <v>0.0043</v>
      </c>
      <c r="N245" s="101">
        <f>MAX(Podsumowanie!E$4+SUM(AA$5:AA244)-SUM(X$5:X245)+SUM(W$5:W245),0)</f>
        <v>101623.63256781755</v>
      </c>
      <c r="O245" s="102">
        <f>MAX(Podsumowanie!E$2+SUM(V$5:V244)-SUM(S$5:S245)+SUM(R$5:R245),0)</f>
        <v>224139.66126072244</v>
      </c>
      <c r="P245" s="39">
        <f t="shared" si="401"/>
        <v>360</v>
      </c>
      <c r="Q245" s="40" t="str">
        <f>IF(AND(K245&gt;0,K245&lt;=Podsumowanie!E$9),"tak","nie")</f>
        <v>nie</v>
      </c>
      <c r="R245" s="41"/>
      <c r="S245" s="42"/>
      <c r="T245" s="88">
        <f aca="true" t="shared" si="518" ref="T245">IF(AB245=1,-O245*M245/12,0)</f>
        <v>-80.31671195175888</v>
      </c>
      <c r="U245" s="89">
        <f>IF(Q245="tak",T245,IF(P245-SUM(AB$5:AB245)+1&gt;0,IF(Podsumowanie!E$7&lt;B245,IF(SUM(AB$5:AB245)-Podsumowanie!E$9+1&gt;0,PMT(M245/12,P245+1-SUM(AB$5:AB245),O245),T245),0),0))</f>
        <v>-1239.4292848218167</v>
      </c>
      <c r="V245" s="89">
        <f aca="true" t="shared" si="519" ref="V245">U245-T245</f>
        <v>-1159.1125728700579</v>
      </c>
      <c r="W245" s="90" t="str">
        <f>IF(R245&gt;0,R245/(C245*(1-Podsumowanie!E$11))," ")</f>
        <v xml:space="preserve"> </v>
      </c>
      <c r="X245" s="90">
        <f t="shared" si="266"/>
        <v>0</v>
      </c>
      <c r="Y245" s="91">
        <f aca="true" t="shared" si="520" ref="Y245">IF(AB245=1,-N245*M245/12,0)</f>
        <v>-36.41513500346796</v>
      </c>
      <c r="Z245" s="90">
        <f>IF(P245-SUM(AB$5:AB245)+1&gt;0,IF(Podsumowanie!E$7&lt;B245,IF(SUM(AB$5:AB245)-Podsumowanie!E$9+1&gt;0,PMT(M245/12,P245+1-SUM(AB$5:AB245),N245),Y245),0),0)</f>
        <v>-561.9501052426959</v>
      </c>
      <c r="AA245" s="90">
        <f aca="true" t="shared" si="521" ref="AA245">Z245-Y245</f>
        <v>-525.534970239228</v>
      </c>
      <c r="AB245" s="8">
        <f>IF(AND(Podsumowanie!E$7&lt;B245,SUM(AB$5:AB244)&lt;P244),1," ")</f>
        <v>1</v>
      </c>
      <c r="AD245" s="51">
        <f>IF(OR(B245&lt;Podsumowanie!E$12,Podsumowanie!E$12=""),-F245+S245,0)</f>
        <v>0</v>
      </c>
      <c r="AE245" s="51">
        <f t="shared" si="267"/>
        <v>561.9501052426959</v>
      </c>
      <c r="AG245" s="10">
        <f>Podsumowanie!E$4-SUM(AI$5:AI244)+SUM(W$42:W245)-SUM(X$42:X245)</f>
        <v>93962.54813555245</v>
      </c>
      <c r="AH245" s="10">
        <f aca="true" t="shared" si="522" ref="AH245">IF(AB245=1,ROUND(AG245*M245/12,2),0)</f>
        <v>33.67</v>
      </c>
      <c r="AI245" s="10">
        <f aca="true" t="shared" si="523" ref="AI245">IF(Q245="tak",0,IF(AB245=1,ROUND(AG245/(P245-K245+1),2),0))</f>
        <v>505.17</v>
      </c>
      <c r="AJ245" s="10">
        <f aca="true" t="shared" si="524" ref="AJ245">AI245+AH245</f>
        <v>538.84</v>
      </c>
      <c r="AK245" s="10">
        <f aca="true" t="shared" si="525" ref="AK245">ROUND(AJ245*D245,2)</f>
        <v>2431.92</v>
      </c>
      <c r="AL245" s="10">
        <f>Podsumowanie!E$2-SUM(AN$5:AN244)+SUM(R$42:R245)-SUM(S$42:S245)</f>
        <v>207242.12999999974</v>
      </c>
      <c r="AM245" s="10">
        <f aca="true" t="shared" si="526" ref="AM245">IF(AB245=1,ROUND(AL245*M245/12,2),0)</f>
        <v>74.26</v>
      </c>
      <c r="AN245" s="10">
        <f aca="true" t="shared" si="527" ref="AN245">IF(Q245="tak",0,IF(AB245=1,ROUND(AL245/(P245-K245+1),2),0))</f>
        <v>1114.21</v>
      </c>
      <c r="AO245" s="10">
        <f aca="true" t="shared" si="528" ref="AO245">AN245+AM245</f>
        <v>1188.47</v>
      </c>
      <c r="AP245" s="10">
        <f aca="true" t="shared" si="529" ref="AP245">AK245-AO245</f>
        <v>1243.45</v>
      </c>
      <c r="AR245" s="43">
        <f aca="true" t="shared" si="530" ref="AR245">B245</f>
        <v>44562</v>
      </c>
      <c r="AS245" s="11">
        <f>AS$5+SUM(AV$5:AV244)-SUM(X$5:X245)+SUM(W$5:W245)</f>
        <v>98574.923590783</v>
      </c>
      <c r="AT245" s="10">
        <f aca="true" t="shared" si="531" ref="AT245">IF(AB245=1,-AS245*M245/12,0)</f>
        <v>-35.32268095336391</v>
      </c>
      <c r="AU245" s="10">
        <f>IF(AB245=1,IF(Q245="tak",AT245,PMT(M245/12,P245+1-SUM(AB$5:AB245),AS245)),0)</f>
        <v>-545.0916020854149</v>
      </c>
      <c r="AV245" s="10">
        <f aca="true" t="shared" si="532" ref="AV245">AU245-AT245</f>
        <v>-509.76892113205105</v>
      </c>
      <c r="AW245" s="10">
        <f aca="true" t="shared" si="533" ref="AW245">AU245*C245</f>
        <v>-2388.4823820178713</v>
      </c>
      <c r="AY245" s="11">
        <f>AY$5+SUM(BA$5:BA244)+SUM(W$5:W244)-SUM(X$5:X244)</f>
        <v>91143.50719148565</v>
      </c>
      <c r="AZ245" s="11">
        <f aca="true" t="shared" si="534" ref="AZ245">IF(AB245=1,-AS245*M245/12,0)</f>
        <v>-35.32268095336391</v>
      </c>
      <c r="BA245" s="11">
        <f aca="true" t="shared" si="535" ref="BA245">IF(AB245=1,IF(Q245="tak",0,ROUND(-AY245/(P245-K245+1),2)),0)</f>
        <v>-490.02</v>
      </c>
      <c r="BB245" s="11">
        <f aca="true" t="shared" si="536" ref="BB245">BA245+AZ245</f>
        <v>-525.3426809533639</v>
      </c>
      <c r="BC245" s="11">
        <f aca="true" t="shared" si="537" ref="BC245">BB245*C245</f>
        <v>-2301.94655940145</v>
      </c>
      <c r="BE245" s="172">
        <f aca="true" t="shared" si="538" ref="BE245">VLOOKUP(B245,Oproc,5)</f>
        <v>0.0251</v>
      </c>
      <c r="BF245" s="44">
        <f>BE245+Podsumowanie!$E$6</f>
        <v>0.0371</v>
      </c>
      <c r="BG245" s="11">
        <f>BG$5+SUM(BH$5:BH244)+SUM(R$5:R244)-SUM(S$5:S244)</f>
        <v>263098.6754605369</v>
      </c>
      <c r="BH245" s="10">
        <f aca="true" t="shared" si="539" ref="BH245">IF(BJ245&lt;0,BJ245-BI245,0)</f>
        <v>-1041.324833869552</v>
      </c>
      <c r="BI245" s="10">
        <f aca="true" t="shared" si="540" ref="BI245">IF(BJ245&lt;0,-BG245*BF245/12,0)</f>
        <v>-813.4134049654932</v>
      </c>
      <c r="BJ245" s="10">
        <f>IF(U245&lt;0,PMT(BF245/12,Podsumowanie!E$8-SUM(AB$5:AB245)+1,BG245),0)</f>
        <v>-1854.7382388350454</v>
      </c>
      <c r="BL245" s="11">
        <f>BL$5+SUM(BN$5:BN244)+SUM(R$5:R244)-SUM(S$5:S244)</f>
        <v>207242.33983286945</v>
      </c>
      <c r="BM245" s="11">
        <f aca="true" t="shared" si="541" ref="BM245">IF(AB245=1,-BF245*BL245/12,0)</f>
        <v>-640.7242339832881</v>
      </c>
      <c r="BN245" s="11">
        <f aca="true" t="shared" si="542" ref="BN245">IF(AB245=1,-BL245/(P245-K245+1),0)</f>
        <v>-1114.2061281337067</v>
      </c>
      <c r="BO245" s="11">
        <f aca="true" t="shared" si="543" ref="BO245">BN245+BM245</f>
        <v>-1754.9303621169947</v>
      </c>
      <c r="BQ245" s="44">
        <f aca="true" t="shared" si="544" ref="BQ245">BE245+$BQ$4</f>
        <v>0.0372</v>
      </c>
      <c r="BR245" s="11">
        <f>BR$5+SUM(BS$5:BS244)+SUM(R$5:R244)-SUM(S$5:S244)+SUM(BV$5:BV244)</f>
        <v>249619.0246728345</v>
      </c>
      <c r="BS245" s="10">
        <f aca="true" t="shared" si="545" ref="BS245">IF(BU245&lt;0,BU245-BT245,0)</f>
        <v>-987.1369036360801</v>
      </c>
      <c r="BT245" s="10">
        <f aca="true" t="shared" si="546" ref="BT245">IF(BU245&lt;0,-BR245*BQ245/12,0)</f>
        <v>-773.818976485787</v>
      </c>
      <c r="BU245" s="10">
        <f>IF(U245&lt;0,PMT(BQ245/12,Podsumowanie!E$8-SUM(AB$5:AB245)+1,BR245),0)</f>
        <v>-1760.955880121867</v>
      </c>
      <c r="BV245" s="10">
        <f aca="true" t="shared" si="547" ref="BV245">F245-BU245</f>
        <v>-775.2676801651512</v>
      </c>
      <c r="BX245" s="11">
        <f>BX$5+SUM(BZ$5:BZ244)+SUM(R$5:R244)-SUM(S$5:S244)+SUM(CB$5,CB244)</f>
        <v>206496.68683051778</v>
      </c>
      <c r="BY245" s="10">
        <f aca="true" t="shared" si="548" ref="BY245">IF(AB245=1,-BQ245*BX245/12,0)</f>
        <v>-640.1397291746051</v>
      </c>
      <c r="BZ245" s="10">
        <f aca="true" t="shared" si="549" ref="BZ245">IF(AB245=1,-BX245/(P245-K245+1),0)</f>
        <v>-1110.197241024289</v>
      </c>
      <c r="CA245" s="10">
        <f aca="true" t="shared" si="550" ref="CA245">BZ245+BY245</f>
        <v>-1750.336970198894</v>
      </c>
      <c r="CB245" s="10">
        <f aca="true" t="shared" si="551" ref="CB245">$F245-CA245</f>
        <v>-785.8865900881242</v>
      </c>
      <c r="CD245" s="10">
        <f>CD$5+SUM(CE$5:CE244)+SUM(R$5:R244)-SUM(S$5:S244)-SUM(CF$5:CF244)</f>
        <v>217754.42658917414</v>
      </c>
      <c r="CE245" s="10">
        <f t="shared" si="269"/>
        <v>640.1397291746051</v>
      </c>
      <c r="CF245" s="10">
        <f t="shared" si="270"/>
        <v>2536.2235602870182</v>
      </c>
      <c r="CG245" s="10">
        <f t="shared" si="271"/>
        <v>1896.083831112413</v>
      </c>
      <c r="CI245" s="44">
        <v>0.2386</v>
      </c>
      <c r="CJ245" s="10">
        <f t="shared" si="272"/>
        <v>-605.14</v>
      </c>
      <c r="CK245" s="4">
        <f t="shared" si="277"/>
        <v>0</v>
      </c>
      <c r="CM245" s="10">
        <f t="shared" si="278"/>
        <v>-377654.59530940367</v>
      </c>
      <c r="CN245" s="4">
        <f t="shared" si="279"/>
        <v>-789.9275285221694</v>
      </c>
    </row>
    <row r="246" spans="1:92" ht="15.75">
      <c r="A246" s="36"/>
      <c r="B246" s="37">
        <v>44593</v>
      </c>
      <c r="C246" s="77">
        <f aca="true" t="shared" si="552" ref="C246:C247">VLOOKUP(B246,Kursy,C$2)</f>
        <v>4.3506</v>
      </c>
      <c r="D246" s="79">
        <f>C246*(1+Podsumowanie!E$11)</f>
        <v>4.481118</v>
      </c>
      <c r="E246" s="34">
        <f aca="true" t="shared" si="553" ref="E246:E247">Z246</f>
        <v>-561.950105242696</v>
      </c>
      <c r="F246" s="7">
        <f aca="true" t="shared" si="554" ref="F246:F247">E246*D246</f>
        <v>-2518.16473170494</v>
      </c>
      <c r="G246" s="7">
        <f aca="true" t="shared" si="555" ref="G246:G247">U246</f>
        <v>-1239.4292848218167</v>
      </c>
      <c r="H246" s="7">
        <f aca="true" t="shared" si="556" ref="H246:H247">G246-F246</f>
        <v>1278.7354468831234</v>
      </c>
      <c r="I246" s="32"/>
      <c r="K246" s="4">
        <f>IF(B246&lt;Podsumowanie!E$7,0,K245+1)</f>
        <v>176</v>
      </c>
      <c r="L246" s="100">
        <f aca="true" t="shared" si="557" ref="L246:L247">VLOOKUP(B246,Oproc,C$2)</f>
        <v>-0.0077</v>
      </c>
      <c r="M246" s="38">
        <f>L246+Podsumowanie!E$6</f>
        <v>0.0043</v>
      </c>
      <c r="N246" s="101">
        <f>MAX(Podsumowanie!E$4+SUM(AA$5:AA245)-SUM(X$5:X246)+SUM(W$5:W246),0)</f>
        <v>101098.09759757832</v>
      </c>
      <c r="O246" s="102">
        <f>MAX(Podsumowanie!E$2+SUM(V$5:V245)-SUM(S$5:S246)+SUM(R$5:R246),0)</f>
        <v>222980.54868785237</v>
      </c>
      <c r="P246" s="39">
        <f t="shared" si="401"/>
        <v>360</v>
      </c>
      <c r="Q246" s="40" t="str">
        <f>IF(AND(K246&gt;0,K246&lt;=Podsumowanie!E$9),"tak","nie")</f>
        <v>nie</v>
      </c>
      <c r="R246" s="41"/>
      <c r="S246" s="42"/>
      <c r="T246" s="88">
        <f aca="true" t="shared" si="558" ref="T246:T247">IF(AB246=1,-O246*M246/12,0)</f>
        <v>-79.90136327981376</v>
      </c>
      <c r="U246" s="89">
        <f>IF(Q246="tak",T246,IF(P246-SUM(AB$5:AB246)+1&gt;0,IF(Podsumowanie!E$7&lt;B246,IF(SUM(AB$5:AB246)-Podsumowanie!E$9+1&gt;0,PMT(M246/12,P246+1-SUM(AB$5:AB246),O246),T246),0),0))</f>
        <v>-1239.4292848218167</v>
      </c>
      <c r="V246" s="89">
        <f aca="true" t="shared" si="559" ref="V246:V247">U246-T246</f>
        <v>-1159.527921542003</v>
      </c>
      <c r="W246" s="90" t="str">
        <f>IF(R246&gt;0,R246/(C246*(1-Podsumowanie!E$11))," ")</f>
        <v xml:space="preserve"> </v>
      </c>
      <c r="X246" s="90">
        <f t="shared" si="266"/>
        <v>0</v>
      </c>
      <c r="Y246" s="91">
        <f aca="true" t="shared" si="560" ref="Y246:Y247">IF(AB246=1,-N246*M246/12,0)</f>
        <v>-36.2268183057989</v>
      </c>
      <c r="Z246" s="90">
        <f>IF(P246-SUM(AB$5:AB246)+1&gt;0,IF(Podsumowanie!E$7&lt;B246,IF(SUM(AB$5:AB246)-Podsumowanie!E$9+1&gt;0,PMT(M246/12,P246+1-SUM(AB$5:AB246),N246),Y246),0),0)</f>
        <v>-561.950105242696</v>
      </c>
      <c r="AA246" s="90">
        <f aca="true" t="shared" si="561" ref="AA246:AA247">Z246-Y246</f>
        <v>-525.7232869368971</v>
      </c>
      <c r="AB246" s="8">
        <f>IF(AND(Podsumowanie!E$7&lt;B246,SUM(AB$5:AB245)&lt;P245),1," ")</f>
        <v>1</v>
      </c>
      <c r="AD246" s="51">
        <f>IF(OR(B246&lt;Podsumowanie!E$12,Podsumowanie!E$12=""),-F246+S246,0)</f>
        <v>0</v>
      </c>
      <c r="AE246" s="51">
        <f t="shared" si="267"/>
        <v>561.950105242696</v>
      </c>
      <c r="AG246" s="10">
        <f>Podsumowanie!E$4-SUM(AI$5:AI245)+SUM(W$42:W246)-SUM(X$42:X246)</f>
        <v>93457.37813555246</v>
      </c>
      <c r="AH246" s="10">
        <f aca="true" t="shared" si="562" ref="AH246:AH247">IF(AB246=1,ROUND(AG246*M246/12,2),0)</f>
        <v>33.49</v>
      </c>
      <c r="AI246" s="10">
        <f aca="true" t="shared" si="563" ref="AI246:AI247">IF(Q246="tak",0,IF(AB246=1,ROUND(AG246/(P246-K246+1),2),0))</f>
        <v>505.18</v>
      </c>
      <c r="AJ246" s="10">
        <f aca="true" t="shared" si="564" ref="AJ246:AJ247">AI246+AH246</f>
        <v>538.67</v>
      </c>
      <c r="AK246" s="10">
        <f aca="true" t="shared" si="565" ref="AK246:AK247">ROUND(AJ246*D246,2)</f>
        <v>2413.84</v>
      </c>
      <c r="AL246" s="10">
        <f>Podsumowanie!E$2-SUM(AN$5:AN245)+SUM(R$42:R246)-SUM(S$42:S246)</f>
        <v>206127.91999999975</v>
      </c>
      <c r="AM246" s="10">
        <f aca="true" t="shared" si="566" ref="AM246:AM247">IF(AB246=1,ROUND(AL246*M246/12,2),0)</f>
        <v>73.86</v>
      </c>
      <c r="AN246" s="10">
        <f aca="true" t="shared" si="567" ref="AN246:AN247">IF(Q246="tak",0,IF(AB246=1,ROUND(AL246/(P246-K246+1),2),0))</f>
        <v>1114.2</v>
      </c>
      <c r="AO246" s="10">
        <f aca="true" t="shared" si="568" ref="AO246:AO247">AN246+AM246</f>
        <v>1188.06</v>
      </c>
      <c r="AP246" s="10">
        <f aca="true" t="shared" si="569" ref="AP246:AP247">AK246-AO246</f>
        <v>1225.7800000000002</v>
      </c>
      <c r="AR246" s="43">
        <f aca="true" t="shared" si="570" ref="AR246:AR247">B246</f>
        <v>44593</v>
      </c>
      <c r="AS246" s="11">
        <f>AS$5+SUM(AV$5:AV245)-SUM(X$5:X246)+SUM(W$5:W246)</f>
        <v>98065.15466965095</v>
      </c>
      <c r="AT246" s="10">
        <f aca="true" t="shared" si="571" ref="AT246:AT247">IF(AB246=1,-AS246*M246/12,0)</f>
        <v>-35.140013756624924</v>
      </c>
      <c r="AU246" s="10">
        <f>IF(AB246=1,IF(Q246="tak",AT246,PMT(M246/12,P246+1-SUM(AB$5:AB246),AS246)),0)</f>
        <v>-545.0916020854149</v>
      </c>
      <c r="AV246" s="10">
        <f aca="true" t="shared" si="572" ref="AV246:AV247">AU246-AT246</f>
        <v>-509.95158832879</v>
      </c>
      <c r="AW246" s="10">
        <f aca="true" t="shared" si="573" ref="AW246:AW247">AU246*C246</f>
        <v>-2371.4755240328063</v>
      </c>
      <c r="AY246" s="11">
        <f>AY$5+SUM(BA$5:BA245)+SUM(W$5:W245)-SUM(X$5:X245)</f>
        <v>90653.48719148565</v>
      </c>
      <c r="AZ246" s="11">
        <f aca="true" t="shared" si="574" ref="AZ246:AZ247">IF(AB246=1,-AS246*M246/12,0)</f>
        <v>-35.140013756624924</v>
      </c>
      <c r="BA246" s="11">
        <f aca="true" t="shared" si="575" ref="BA246:BA247">IF(AB246=1,IF(Q246="tak",0,ROUND(-AY246/(P246-K246+1),2)),0)</f>
        <v>-490.02</v>
      </c>
      <c r="BB246" s="11">
        <f aca="true" t="shared" si="576" ref="BB246:BB247">BA246+AZ246</f>
        <v>-525.160013756625</v>
      </c>
      <c r="BC246" s="11">
        <f aca="true" t="shared" si="577" ref="BC246:BC247">BB246*C246</f>
        <v>-2284.7611558495723</v>
      </c>
      <c r="BE246" s="172">
        <f aca="true" t="shared" si="578" ref="BE246:BE247">VLOOKUP(B246,Oproc,5)</f>
        <v>0.03331</v>
      </c>
      <c r="BF246" s="44">
        <f>BE246+Podsumowanie!$E$6</f>
        <v>0.04531</v>
      </c>
      <c r="BG246" s="11">
        <f>BG$5+SUM(BH$5:BH245)+SUM(R$5:R245)-SUM(S$5:S245)</f>
        <v>262057.35062666735</v>
      </c>
      <c r="BH246" s="10">
        <f aca="true" t="shared" si="579" ref="BH246:BH247">IF(BJ246&lt;0,BJ246-BI246,0)</f>
        <v>-974.1593460661746</v>
      </c>
      <c r="BI246" s="10">
        <f aca="true" t="shared" si="580" ref="BI246:BI247">IF(BJ246&lt;0,-BG246*BF246/12,0)</f>
        <v>-989.4848797411915</v>
      </c>
      <c r="BJ246" s="10">
        <f>IF(U246&lt;0,PMT(BF246/12,Podsumowanie!E$8-SUM(AB$5:AB246)+1,BG246),0)</f>
        <v>-1963.6442258073662</v>
      </c>
      <c r="BL246" s="11">
        <f>BL$5+SUM(BN$5:BN245)+SUM(R$5:R245)-SUM(S$5:S245)</f>
        <v>206128.13370473575</v>
      </c>
      <c r="BM246" s="11">
        <f aca="true" t="shared" si="581" ref="BM246:BM247">IF(AB246=1,-BF246*BL246/12,0)</f>
        <v>-778.3054781801314</v>
      </c>
      <c r="BN246" s="11">
        <f aca="true" t="shared" si="582" ref="BN246:BN247">IF(AB246=1,-BL246/(P246-K246+1),0)</f>
        <v>-1114.2061281337067</v>
      </c>
      <c r="BO246" s="11">
        <f aca="true" t="shared" si="583" ref="BO246:BO247">BN246+BM246</f>
        <v>-1892.511606313838</v>
      </c>
      <c r="BQ246" s="44">
        <f aca="true" t="shared" si="584" ref="BQ246:BQ247">BE246+$BQ$4</f>
        <v>0.04541</v>
      </c>
      <c r="BR246" s="11">
        <f>BR$5+SUM(BS$5:BS245)+SUM(R$5:R245)-SUM(S$5:S245)+SUM(BV$5:BV245)</f>
        <v>247856.62008903327</v>
      </c>
      <c r="BS246" s="10">
        <f aca="true" t="shared" si="585" ref="BS246:BS247">IF(BU246&lt;0,BU246-BT246,0)</f>
        <v>-920.5805019604006</v>
      </c>
      <c r="BT246" s="10">
        <f aca="true" t="shared" si="586" ref="BT246:BT247">IF(BU246&lt;0,-BR246*BQ246/12,0)</f>
        <v>-937.9307598535834</v>
      </c>
      <c r="BU246" s="10">
        <f>IF(U246&lt;0,PMT(BQ246/12,Podsumowanie!E$8-SUM(AB$5:AB246)+1,BR246),0)</f>
        <v>-1858.511261813984</v>
      </c>
      <c r="BV246" s="10">
        <f aca="true" t="shared" si="587" ref="BV246:BV247">F246-BU246</f>
        <v>-659.6534698909561</v>
      </c>
      <c r="BX246" s="11">
        <f>BX$5+SUM(BZ$5:BZ245)+SUM(R$5:R245)-SUM(S$5:S245)+SUM(CB$5,CB245)</f>
        <v>205444.48599196278</v>
      </c>
      <c r="BY246" s="10">
        <f aca="true" t="shared" si="588" ref="BY246:BY247">IF(AB246=1,-BQ246*BX246/12,0)</f>
        <v>-777.4361757412524</v>
      </c>
      <c r="BZ246" s="10">
        <f aca="true" t="shared" si="589" ref="BZ246:BZ247">IF(AB246=1,-BX246/(P246-K246+1),0)</f>
        <v>-1110.5107350916908</v>
      </c>
      <c r="CA246" s="10">
        <f aca="true" t="shared" si="590" ref="CA246:CA247">BZ246+BY246</f>
        <v>-1887.946910832943</v>
      </c>
      <c r="CB246" s="10">
        <f aca="true" t="shared" si="591" ref="CB246:CB247">$F246-CA246</f>
        <v>-630.217820871997</v>
      </c>
      <c r="CD246" s="10">
        <f>CD$5+SUM(CE$5:CE245)+SUM(R$5:R245)-SUM(S$5:S245)-SUM(CF$5:CF245)</f>
        <v>215858.34275806166</v>
      </c>
      <c r="CE246" s="10">
        <f t="shared" si="269"/>
        <v>777.4361757412524</v>
      </c>
      <c r="CF246" s="10">
        <f t="shared" si="270"/>
        <v>2518.16473170494</v>
      </c>
      <c r="CG246" s="10">
        <f t="shared" si="271"/>
        <v>1740.7285559636875</v>
      </c>
      <c r="CI246" s="44">
        <v>0.2155</v>
      </c>
      <c r="CJ246" s="10">
        <f t="shared" si="272"/>
        <v>-542.66</v>
      </c>
      <c r="CK246" s="4">
        <f t="shared" si="277"/>
        <v>0</v>
      </c>
      <c r="CM246" s="10">
        <f t="shared" si="278"/>
        <v>-380172.7600411086</v>
      </c>
      <c r="CN246" s="4">
        <f t="shared" si="279"/>
        <v>-1055.296219747444</v>
      </c>
    </row>
    <row r="247" spans="1:92" ht="15.75">
      <c r="A247" s="36"/>
      <c r="B247" s="37">
        <v>44621</v>
      </c>
      <c r="C247" s="77">
        <f t="shared" si="552"/>
        <v>4.6498</v>
      </c>
      <c r="D247" s="79">
        <f>C247*(1+Podsumowanie!E$11)</f>
        <v>4.789294</v>
      </c>
      <c r="E247" s="34">
        <f t="shared" si="553"/>
        <v>-561.9501052426958</v>
      </c>
      <c r="F247" s="7">
        <f t="shared" si="554"/>
        <v>-2691.3442673382115</v>
      </c>
      <c r="G247" s="7">
        <f t="shared" si="555"/>
        <v>-1239.4292848218165</v>
      </c>
      <c r="H247" s="7">
        <f t="shared" si="556"/>
        <v>1451.914982516395</v>
      </c>
      <c r="I247" s="32"/>
      <c r="K247" s="4">
        <f>IF(B247&lt;Podsumowanie!E$7,0,K246+1)</f>
        <v>177</v>
      </c>
      <c r="L247" s="100">
        <f t="shared" si="557"/>
        <v>-0.0077</v>
      </c>
      <c r="M247" s="38">
        <f>L247+Podsumowanie!E$6</f>
        <v>0.0043</v>
      </c>
      <c r="N247" s="101">
        <f>MAX(Podsumowanie!E$4+SUM(AA$5:AA246)-SUM(X$5:X247)+SUM(W$5:W247),0)</f>
        <v>100572.37431064142</v>
      </c>
      <c r="O247" s="102">
        <f>MAX(Podsumowanie!E$2+SUM(V$5:V246)-SUM(S$5:S247)+SUM(R$5:R247),0)</f>
        <v>221821.02076631036</v>
      </c>
      <c r="P247" s="39">
        <f t="shared" si="401"/>
        <v>360</v>
      </c>
      <c r="Q247" s="40" t="str">
        <f>IF(AND(K247&gt;0,K247&lt;=Podsumowanie!E$9),"tak","nie")</f>
        <v>nie</v>
      </c>
      <c r="R247" s="41"/>
      <c r="S247" s="42"/>
      <c r="T247" s="88">
        <f t="shared" si="558"/>
        <v>-79.48586577459454</v>
      </c>
      <c r="U247" s="89">
        <f>IF(Q247="tak",T247,IF(P247-SUM(AB$5:AB247)+1&gt;0,IF(Podsumowanie!E$7&lt;B247,IF(SUM(AB$5:AB247)-Podsumowanie!E$9+1&gt;0,PMT(M247/12,P247+1-SUM(AB$5:AB247),O247),T247),0),0))</f>
        <v>-1239.4292848218165</v>
      </c>
      <c r="V247" s="89">
        <f t="shared" si="559"/>
        <v>-1159.943419047222</v>
      </c>
      <c r="W247" s="90" t="str">
        <f>IF(R247&gt;0,R247/(C247*(1-Podsumowanie!E$11))," ")</f>
        <v xml:space="preserve"> </v>
      </c>
      <c r="X247" s="90">
        <f t="shared" si="266"/>
        <v>0</v>
      </c>
      <c r="Y247" s="91">
        <f t="shared" si="560"/>
        <v>-36.03843412797984</v>
      </c>
      <c r="Z247" s="90">
        <f>IF(P247-SUM(AB$5:AB247)+1&gt;0,IF(Podsumowanie!E$7&lt;B247,IF(SUM(AB$5:AB247)-Podsumowanie!E$9+1&gt;0,PMT(M247/12,P247+1-SUM(AB$5:AB247),N247),Y247),0),0)</f>
        <v>-561.9501052426958</v>
      </c>
      <c r="AA247" s="90">
        <f t="shared" si="561"/>
        <v>-525.911671114716</v>
      </c>
      <c r="AB247" s="8">
        <f>IF(AND(Podsumowanie!E$7&lt;B247,SUM(AB$5:AB246)&lt;P246),1," ")</f>
        <v>1</v>
      </c>
      <c r="AD247" s="51">
        <f>IF(OR(B247&lt;Podsumowanie!E$12,Podsumowanie!E$12=""),-F247+S247,0)</f>
        <v>0</v>
      </c>
      <c r="AE247" s="51">
        <f t="shared" si="267"/>
        <v>561.9501052426958</v>
      </c>
      <c r="AG247" s="10">
        <f>Podsumowanie!E$4-SUM(AI$5:AI246)+SUM(W$42:W247)-SUM(X$42:X247)</f>
        <v>92952.19813555246</v>
      </c>
      <c r="AH247" s="10">
        <f t="shared" si="562"/>
        <v>33.31</v>
      </c>
      <c r="AI247" s="10">
        <f t="shared" si="563"/>
        <v>505.17</v>
      </c>
      <c r="AJ247" s="10">
        <f t="shared" si="564"/>
        <v>538.48</v>
      </c>
      <c r="AK247" s="10">
        <f t="shared" si="565"/>
        <v>2578.94</v>
      </c>
      <c r="AL247" s="10">
        <f>Podsumowanie!E$2-SUM(AN$5:AN246)+SUM(R$42:R247)-SUM(S$42:S247)</f>
        <v>205013.71999999974</v>
      </c>
      <c r="AM247" s="10">
        <f t="shared" si="566"/>
        <v>73.46</v>
      </c>
      <c r="AN247" s="10">
        <f t="shared" si="567"/>
        <v>1114.21</v>
      </c>
      <c r="AO247" s="10">
        <f t="shared" si="568"/>
        <v>1187.67</v>
      </c>
      <c r="AP247" s="10">
        <f t="shared" si="569"/>
        <v>1391.27</v>
      </c>
      <c r="AR247" s="43">
        <f t="shared" si="570"/>
        <v>44621</v>
      </c>
      <c r="AS247" s="11">
        <f>AS$5+SUM(AV$5:AV246)-SUM(X$5:X247)+SUM(W$5:W247)</f>
        <v>97555.20308132215</v>
      </c>
      <c r="AT247" s="10">
        <f t="shared" si="571"/>
        <v>-34.957281104140435</v>
      </c>
      <c r="AU247" s="10">
        <f>IF(AB247=1,IF(Q247="tak",AT247,PMT(M247/12,P247+1-SUM(AB$5:AB247),AS247)),0)</f>
        <v>-545.0916020854148</v>
      </c>
      <c r="AV247" s="10">
        <f t="shared" si="572"/>
        <v>-510.1343209812744</v>
      </c>
      <c r="AW247" s="10">
        <f t="shared" si="573"/>
        <v>-2534.5669313767617</v>
      </c>
      <c r="AY247" s="11">
        <f>AY$5+SUM(BA$5:BA246)+SUM(W$5:W246)-SUM(X$5:X246)</f>
        <v>90163.46719148564</v>
      </c>
      <c r="AZ247" s="11">
        <f t="shared" si="574"/>
        <v>-34.957281104140435</v>
      </c>
      <c r="BA247" s="11">
        <f t="shared" si="575"/>
        <v>-490.02</v>
      </c>
      <c r="BB247" s="11">
        <f t="shared" si="576"/>
        <v>-524.9772811041404</v>
      </c>
      <c r="BC247" s="11">
        <f t="shared" si="577"/>
        <v>-2441.039361678032</v>
      </c>
      <c r="BE247" s="172">
        <f t="shared" si="578"/>
        <v>0.042674</v>
      </c>
      <c r="BF247" s="44">
        <f>BE247+Podsumowanie!$E$6</f>
        <v>0.054674</v>
      </c>
      <c r="BG247" s="11">
        <f>BG$5+SUM(BH$5:BH246)+SUM(R$5:R246)-SUM(S$5:S246)</f>
        <v>261083.19128060117</v>
      </c>
      <c r="BH247" s="10">
        <f t="shared" si="579"/>
        <v>-902.1018654578163</v>
      </c>
      <c r="BI247" s="10">
        <f t="shared" si="580"/>
        <v>-1189.5385333396323</v>
      </c>
      <c r="BJ247" s="10">
        <f>IF(U247&lt;0,PMT(BF247/12,Podsumowanie!E$8-SUM(AB$5:AB247)+1,BG247),0)</f>
        <v>-2091.6403987974486</v>
      </c>
      <c r="BL247" s="11">
        <f>BL$5+SUM(BN$5:BN246)+SUM(R$5:R246)-SUM(S$5:S246)</f>
        <v>205013.92757660206</v>
      </c>
      <c r="BM247" s="11">
        <f t="shared" si="581"/>
        <v>-934.0776230269284</v>
      </c>
      <c r="BN247" s="11">
        <f t="shared" si="582"/>
        <v>-1114.206128133707</v>
      </c>
      <c r="BO247" s="11">
        <f t="shared" si="583"/>
        <v>-2048.2837511606353</v>
      </c>
      <c r="BQ247" s="44">
        <f t="shared" si="584"/>
        <v>0.054773999999999996</v>
      </c>
      <c r="BR247" s="11">
        <f>BR$5+SUM(BS$5:BS246)+SUM(R$5:R246)-SUM(S$5:S246)+SUM(BV$5:BV246)</f>
        <v>246276.38611718192</v>
      </c>
      <c r="BS247" s="10">
        <f t="shared" si="585"/>
        <v>-850.2013406475144</v>
      </c>
      <c r="BT247" s="10">
        <f t="shared" si="586"/>
        <v>-1124.1285644318768</v>
      </c>
      <c r="BU247" s="10">
        <f>IF(U247&lt;0,PMT(BQ247/12,Podsumowanie!E$8-SUM(AB$5:AB247)+1,BR247),0)</f>
        <v>-1974.3299050793912</v>
      </c>
      <c r="BV247" s="10">
        <f t="shared" si="587"/>
        <v>-717.0143622588203</v>
      </c>
      <c r="BX247" s="11">
        <f>BX$5+SUM(BZ$5:BZ246)+SUM(R$5:R246)-SUM(S$5:S246)+SUM(CB$5,CB246)</f>
        <v>204489.64402608722</v>
      </c>
      <c r="BY247" s="10">
        <f t="shared" si="588"/>
        <v>-933.3929801570752</v>
      </c>
      <c r="BZ247" s="10">
        <f t="shared" si="589"/>
        <v>-1111.3567610113437</v>
      </c>
      <c r="CA247" s="10">
        <f t="shared" si="590"/>
        <v>-2044.749741168419</v>
      </c>
      <c r="CB247" s="10">
        <f t="shared" si="591"/>
        <v>-646.5945261697925</v>
      </c>
      <c r="CD247" s="10">
        <f>CD$5+SUM(CE$5:CE246)+SUM(R$5:R246)-SUM(S$5:S246)-SUM(CF$5:CF246)</f>
        <v>214117.614202098</v>
      </c>
      <c r="CE247" s="10">
        <f t="shared" si="269"/>
        <v>933.3929801570752</v>
      </c>
      <c r="CF247" s="10">
        <f t="shared" si="270"/>
        <v>2691.3442673382115</v>
      </c>
      <c r="CG247" s="10">
        <f t="shared" si="271"/>
        <v>1757.9512871811362</v>
      </c>
      <c r="CI247" s="44">
        <v>0.2192</v>
      </c>
      <c r="CJ247" s="10">
        <f t="shared" si="272"/>
        <v>-589.94</v>
      </c>
      <c r="CK247" s="4">
        <f t="shared" si="277"/>
        <v>0</v>
      </c>
      <c r="CM247" s="10">
        <f t="shared" si="278"/>
        <v>-382864.1043084468</v>
      </c>
      <c r="CN247" s="4">
        <f t="shared" si="279"/>
        <v>-1361.5285656048882</v>
      </c>
    </row>
    <row r="248" spans="1:92" ht="15.75">
      <c r="A248" s="36"/>
      <c r="B248" s="37">
        <v>44652</v>
      </c>
      <c r="C248" s="77">
        <f aca="true" t="shared" si="592" ref="C248">VLOOKUP(B248,Kursy,C$2)</f>
        <v>4.5475</v>
      </c>
      <c r="D248" s="79">
        <f>C248*(1+Podsumowanie!E$11)</f>
        <v>4.683925</v>
      </c>
      <c r="E248" s="34">
        <f aca="true" t="shared" si="593" ref="E248">Z248</f>
        <v>-561.9501052426958</v>
      </c>
      <c r="F248" s="7">
        <f aca="true" t="shared" si="594" ref="F248">E248*D248</f>
        <v>-2632.1321466988943</v>
      </c>
      <c r="G248" s="7">
        <f aca="true" t="shared" si="595" ref="G248">U248</f>
        <v>-1239.4292848218167</v>
      </c>
      <c r="H248" s="7">
        <f aca="true" t="shared" si="596" ref="H248">G248-F248</f>
        <v>1392.7028618770776</v>
      </c>
      <c r="I248" s="32"/>
      <c r="K248" s="4">
        <f>IF(B248&lt;Podsumowanie!E$7,0,K247+1)</f>
        <v>178</v>
      </c>
      <c r="L248" s="100">
        <f aca="true" t="shared" si="597" ref="L248">VLOOKUP(B248,Oproc,C$2)</f>
        <v>-0.0077</v>
      </c>
      <c r="M248" s="38">
        <f>L248+Podsumowanie!E$6</f>
        <v>0.0043</v>
      </c>
      <c r="N248" s="101">
        <f>MAX(Podsumowanie!E$4+SUM(AA$5:AA247)-SUM(X$5:X248)+SUM(W$5:W248),0)</f>
        <v>100046.4626395267</v>
      </c>
      <c r="O248" s="102">
        <f>MAX(Podsumowanie!E$2+SUM(V$5:V247)-SUM(S$5:S248)+SUM(R$5:R248),0)</f>
        <v>220661.07734726314</v>
      </c>
      <c r="P248" s="39">
        <f t="shared" si="401"/>
        <v>360</v>
      </c>
      <c r="Q248" s="40" t="str">
        <f>IF(AND(K248&gt;0,K248&lt;=Podsumowanie!E$9),"tak","nie")</f>
        <v>nie</v>
      </c>
      <c r="R248" s="41"/>
      <c r="S248" s="42"/>
      <c r="T248" s="88">
        <f aca="true" t="shared" si="598" ref="T248">IF(AB248=1,-O248*M248/12,0)</f>
        <v>-79.0702193827693</v>
      </c>
      <c r="U248" s="89">
        <f>IF(Q248="tak",T248,IF(P248-SUM(AB$5:AB248)+1&gt;0,IF(Podsumowanie!E$7&lt;B248,IF(SUM(AB$5:AB248)-Podsumowanie!E$9+1&gt;0,PMT(M248/12,P248+1-SUM(AB$5:AB248),O248),T248),0),0))</f>
        <v>-1239.4292848218167</v>
      </c>
      <c r="V248" s="89">
        <f aca="true" t="shared" si="599" ref="V248">U248-T248</f>
        <v>-1160.3590654390475</v>
      </c>
      <c r="W248" s="90" t="str">
        <f>IF(R248&gt;0,R248/(C248*(1-Podsumowanie!E$11))," ")</f>
        <v xml:space="preserve"> </v>
      </c>
      <c r="X248" s="90">
        <f t="shared" si="266"/>
        <v>0</v>
      </c>
      <c r="Y248" s="91">
        <f aca="true" t="shared" si="600" ref="Y248">IF(AB248=1,-N248*M248/12,0)</f>
        <v>-35.8499824458304</v>
      </c>
      <c r="Z248" s="90">
        <f>IF(P248-SUM(AB$5:AB248)+1&gt;0,IF(Podsumowanie!E$7&lt;B248,IF(SUM(AB$5:AB248)-Podsumowanie!E$9+1&gt;0,PMT(M248/12,P248+1-SUM(AB$5:AB248),N248),Y248),0),0)</f>
        <v>-561.9501052426958</v>
      </c>
      <c r="AA248" s="90">
        <f aca="true" t="shared" si="601" ref="AA248">Z248-Y248</f>
        <v>-526.1001227968654</v>
      </c>
      <c r="AB248" s="8">
        <f>IF(AND(Podsumowanie!E$7&lt;B248,SUM(AB$5:AB247)&lt;P247),1," ")</f>
        <v>1</v>
      </c>
      <c r="AD248" s="51">
        <f>IF(OR(B248&lt;Podsumowanie!E$12,Podsumowanie!E$12=""),-F248+S248,0)</f>
        <v>0</v>
      </c>
      <c r="AE248" s="51">
        <f t="shared" si="267"/>
        <v>561.9501052426958</v>
      </c>
      <c r="AG248" s="10">
        <f>Podsumowanie!E$4-SUM(AI$5:AI247)+SUM(W$42:W248)-SUM(X$42:X248)</f>
        <v>92447.02813555246</v>
      </c>
      <c r="AH248" s="10">
        <f aca="true" t="shared" si="602" ref="AH248">IF(AB248=1,ROUND(AG248*M248/12,2),0)</f>
        <v>33.13</v>
      </c>
      <c r="AI248" s="10">
        <f aca="true" t="shared" si="603" ref="AI248">IF(Q248="tak",0,IF(AB248=1,ROUND(AG248/(P248-K248+1),2),0))</f>
        <v>505.18</v>
      </c>
      <c r="AJ248" s="10">
        <f aca="true" t="shared" si="604" ref="AJ248">AI248+AH248</f>
        <v>538.3100000000001</v>
      </c>
      <c r="AK248" s="10">
        <f aca="true" t="shared" si="605" ref="AK248">ROUND(AJ248*D248,2)</f>
        <v>2521.4</v>
      </c>
      <c r="AL248" s="10">
        <f>Podsumowanie!E$2-SUM(AN$5:AN247)+SUM(R$42:R248)-SUM(S$42:S248)</f>
        <v>203899.50999999975</v>
      </c>
      <c r="AM248" s="10">
        <f aca="true" t="shared" si="606" ref="AM248">IF(AB248=1,ROUND(AL248*M248/12,2),0)</f>
        <v>73.06</v>
      </c>
      <c r="AN248" s="10">
        <f aca="true" t="shared" si="607" ref="AN248">IF(Q248="tak",0,IF(AB248=1,ROUND(AL248/(P248-K248+1),2),0))</f>
        <v>1114.2</v>
      </c>
      <c r="AO248" s="10">
        <f aca="true" t="shared" si="608" ref="AO248">AN248+AM248</f>
        <v>1187.26</v>
      </c>
      <c r="AP248" s="10">
        <f aca="true" t="shared" si="609" ref="AP248">AK248-AO248</f>
        <v>1334.14</v>
      </c>
      <c r="AR248" s="43">
        <f aca="true" t="shared" si="610" ref="AR248">B248</f>
        <v>44652</v>
      </c>
      <c r="AS248" s="11">
        <f>AS$5+SUM(AV$5:AV247)-SUM(X$5:X248)+SUM(W$5:W248)</f>
        <v>97045.06876034087</v>
      </c>
      <c r="AT248" s="10">
        <f aca="true" t="shared" si="611" ref="AT248">IF(AB248=1,-AS248*M248/12,0)</f>
        <v>-34.77448297245548</v>
      </c>
      <c r="AU248" s="10">
        <f>IF(AB248=1,IF(Q248="tak",AT248,PMT(M248/12,P248+1-SUM(AB$5:AB248),AS248)),0)</f>
        <v>-545.0916020854148</v>
      </c>
      <c r="AV248" s="10">
        <f aca="true" t="shared" si="612" ref="AV248">AU248-AT248</f>
        <v>-510.31711911295935</v>
      </c>
      <c r="AW248" s="10">
        <f aca="true" t="shared" si="613" ref="AW248">AU248*C248</f>
        <v>-2478.804060483424</v>
      </c>
      <c r="AY248" s="11">
        <f>AY$5+SUM(BA$5:BA247)+SUM(W$5:W247)-SUM(X$5:X247)</f>
        <v>89673.44719148564</v>
      </c>
      <c r="AZ248" s="11">
        <f aca="true" t="shared" si="614" ref="AZ248">IF(AB248=1,-AS248*M248/12,0)</f>
        <v>-34.77448297245548</v>
      </c>
      <c r="BA248" s="11">
        <f aca="true" t="shared" si="615" ref="BA248">IF(AB248=1,IF(Q248="tak",0,ROUND(-AY248/(P248-K248+1),2)),0)</f>
        <v>-490.02</v>
      </c>
      <c r="BB248" s="11">
        <f aca="true" t="shared" si="616" ref="BB248">BA248+AZ248</f>
        <v>-524.7944829724555</v>
      </c>
      <c r="BC248" s="11">
        <f aca="true" t="shared" si="617" ref="BC248">BB248*C248</f>
        <v>-2386.502911317242</v>
      </c>
      <c r="BE248" s="172">
        <f aca="true" t="shared" si="618" ref="BE248">VLOOKUP(B248,Oproc,5)</f>
        <v>0.054795</v>
      </c>
      <c r="BF248" s="44">
        <f>BE248+Podsumowanie!$E$6</f>
        <v>0.06679500000000001</v>
      </c>
      <c r="BG248" s="11">
        <f>BG$5+SUM(BH$5:BH247)+SUM(R$5:R247)-SUM(S$5:S247)</f>
        <v>260181.08941514336</v>
      </c>
      <c r="BH248" s="10">
        <f aca="true" t="shared" si="619" ref="BH248">IF(BJ248&lt;0,BJ248-BI248,0)</f>
        <v>-815.0145173110232</v>
      </c>
      <c r="BI248" s="10">
        <f aca="true" t="shared" si="620" ref="BI248">IF(BJ248&lt;0,-BG248*BF248/12,0)</f>
        <v>-1448.232988957042</v>
      </c>
      <c r="BJ248" s="10">
        <f>IF(U248&lt;0,PMT(BF248/12,Podsumowanie!E$8-SUM(AB$5:AB248)+1,BG248),0)</f>
        <v>-2263.247506268065</v>
      </c>
      <c r="BL248" s="11">
        <f>BL$5+SUM(BN$5:BN247)+SUM(R$5:R247)-SUM(S$5:S247)</f>
        <v>203899.72144846836</v>
      </c>
      <c r="BM248" s="11">
        <f aca="true" t="shared" si="621" ref="BM248">IF(AB248=1,-BF248*BL248/12,0)</f>
        <v>-1134.9568245125372</v>
      </c>
      <c r="BN248" s="11">
        <f aca="true" t="shared" si="622" ref="BN248">IF(AB248=1,-BL248/(P248-K248+1),0)</f>
        <v>-1114.206128133707</v>
      </c>
      <c r="BO248" s="11">
        <f aca="true" t="shared" si="623" ref="BO248">BN248+BM248</f>
        <v>-2249.162952646244</v>
      </c>
      <c r="BQ248" s="44">
        <f aca="true" t="shared" si="624" ref="BQ248">BE248+$BQ$4</f>
        <v>0.06689500000000001</v>
      </c>
      <c r="BR248" s="11">
        <f>BR$5+SUM(BS$5:BS247)+SUM(R$5:R247)-SUM(S$5:S247)+SUM(BV$5:BV247)</f>
        <v>244709.1704142756</v>
      </c>
      <c r="BS248" s="10">
        <f aca="true" t="shared" si="625" ref="BS248">IF(BU248&lt;0,BU248-BT248,0)</f>
        <v>-765.8700745713538</v>
      </c>
      <c r="BT248" s="10">
        <f aca="true" t="shared" si="626" ref="BT248">IF(BU248&lt;0,-BR248*BQ248/12,0)</f>
        <v>-1364.1516629052473</v>
      </c>
      <c r="BU248" s="10">
        <f>IF(U248&lt;0,PMT(BQ248/12,Podsumowanie!E$8-SUM(AB$5:AB248)+1,BR248),0)</f>
        <v>-2130.021737476601</v>
      </c>
      <c r="BV248" s="10">
        <f aca="true" t="shared" si="627" ref="BV248">F248-BU248</f>
        <v>-502.11040922229313</v>
      </c>
      <c r="BX248" s="11">
        <f>BX$5+SUM(BZ$5:BZ247)+SUM(R$5:R247)-SUM(S$5:S247)+SUM(CB$5,CB247)</f>
        <v>203361.91055977807</v>
      </c>
      <c r="BY248" s="10">
        <f aca="true" t="shared" si="628" ref="BY248">IF(AB248=1,-BQ248*BX248/12,0)</f>
        <v>-1133.657917241363</v>
      </c>
      <c r="BZ248" s="10">
        <f aca="true" t="shared" si="629" ref="BZ248">IF(AB248=1,-BX248/(P248-K248+1),0)</f>
        <v>-1111.2672708184593</v>
      </c>
      <c r="CA248" s="10">
        <f aca="true" t="shared" si="630" ref="CA248">BZ248+BY248</f>
        <v>-2244.925188059822</v>
      </c>
      <c r="CB248" s="10">
        <f aca="true" t="shared" si="631" ref="CB248">$F248-CA248</f>
        <v>-387.2069586390721</v>
      </c>
      <c r="CD248" s="10">
        <f>CD$5+SUM(CE$5:CE247)+SUM(R$5:R247)-SUM(S$5:S247)-SUM(CF$5:CF247)</f>
        <v>212359.66291491693</v>
      </c>
      <c r="CE248" s="10">
        <f aca="true" t="shared" si="632" ref="CE248">IF(AB248=1,BQ248*BX248/12,0)</f>
        <v>1133.657917241363</v>
      </c>
      <c r="CF248" s="10">
        <f aca="true" t="shared" si="633" ref="CF248">-F248</f>
        <v>2632.1321466988943</v>
      </c>
      <c r="CG248" s="10">
        <f aca="true" t="shared" si="634" ref="CG248">CF248-CE248</f>
        <v>1498.4742294575312</v>
      </c>
      <c r="CI248" s="44">
        <v>0.1802</v>
      </c>
      <c r="CJ248" s="10">
        <f t="shared" si="272"/>
        <v>-474.31</v>
      </c>
      <c r="CK248" s="4">
        <f t="shared" si="277"/>
        <v>0</v>
      </c>
      <c r="CM248" s="10">
        <f t="shared" si="278"/>
        <v>-385496.2364551457</v>
      </c>
      <c r="CN248" s="4">
        <f t="shared" si="279"/>
        <v>-1760.272189713309</v>
      </c>
    </row>
    <row r="249" spans="1:92" ht="15.75">
      <c r="A249" s="36"/>
      <c r="B249" s="37">
        <v>44682</v>
      </c>
      <c r="C249" s="77">
        <f aca="true" t="shared" si="635" ref="C249:C251">VLOOKUP(B249,Kursy,C$2)</f>
        <v>4.4948</v>
      </c>
      <c r="D249" s="79">
        <f>C249*(1+Podsumowanie!E$11)</f>
        <v>4.629644</v>
      </c>
      <c r="E249" s="34">
        <f aca="true" t="shared" si="636" ref="E249:E251">Z249</f>
        <v>-561.9501052426959</v>
      </c>
      <c r="F249" s="7">
        <f aca="true" t="shared" si="637" ref="F249:F251">E249*D249</f>
        <v>-2601.6289330362156</v>
      </c>
      <c r="G249" s="7">
        <f aca="true" t="shared" si="638" ref="G249:G251">U249</f>
        <v>-1239.4292848218167</v>
      </c>
      <c r="H249" s="7">
        <f aca="true" t="shared" si="639" ref="H249:H251">G249-F249</f>
        <v>1362.1996482143988</v>
      </c>
      <c r="I249" s="32"/>
      <c r="K249" s="4">
        <f>IF(B249&lt;Podsumowanie!E$7,0,K248+1)</f>
        <v>179</v>
      </c>
      <c r="L249" s="100">
        <f aca="true" t="shared" si="640" ref="L249:L251">VLOOKUP(B249,Oproc,C$2)</f>
        <v>-0.0077</v>
      </c>
      <c r="M249" s="38">
        <f>L249+Podsumowanie!E$6</f>
        <v>0.0043</v>
      </c>
      <c r="N249" s="101">
        <f>MAX(Podsumowanie!E$4+SUM(AA$5:AA248)-SUM(X$5:X249)+SUM(W$5:W249),0)</f>
        <v>99520.36251672983</v>
      </c>
      <c r="O249" s="102">
        <f>MAX(Podsumowanie!E$2+SUM(V$5:V248)-SUM(S$5:S249)+SUM(R$5:R249),0)</f>
        <v>219500.71828182408</v>
      </c>
      <c r="P249" s="39">
        <f t="shared" si="401"/>
        <v>360</v>
      </c>
      <c r="Q249" s="40" t="str">
        <f>IF(AND(K249&gt;0,K249&lt;=Podsumowanie!E$9),"tak","nie")</f>
        <v>nie</v>
      </c>
      <c r="R249" s="41"/>
      <c r="S249" s="42"/>
      <c r="T249" s="88">
        <f aca="true" t="shared" si="641" ref="T249:T251">IF(AB249=1,-O249*M249/12,0)</f>
        <v>-78.65442405098696</v>
      </c>
      <c r="U249" s="89">
        <f>IF(Q249="tak",T249,IF(P249-SUM(AB$5:AB249)+1&gt;0,IF(Podsumowanie!E$7&lt;B249,IF(SUM(AB$5:AB249)-Podsumowanie!E$9+1&gt;0,PMT(M249/12,P249+1-SUM(AB$5:AB249),O249),T249),0),0))</f>
        <v>-1239.4292848218167</v>
      </c>
      <c r="V249" s="89">
        <f aca="true" t="shared" si="642" ref="V249:V251">U249-T249</f>
        <v>-1160.7748607708297</v>
      </c>
      <c r="W249" s="90" t="str">
        <f>IF(R249&gt;0,R249/(C249*(1-Podsumowanie!E$11))," ")</f>
        <v xml:space="preserve"> </v>
      </c>
      <c r="X249" s="90">
        <f t="shared" si="266"/>
        <v>0</v>
      </c>
      <c r="Y249" s="91">
        <f aca="true" t="shared" si="643" ref="Y249:Y251">IF(AB249=1,-N249*M249/12,0)</f>
        <v>-35.66146323516153</v>
      </c>
      <c r="Z249" s="90">
        <f>IF(P249-SUM(AB$5:AB249)+1&gt;0,IF(Podsumowanie!E$7&lt;B249,IF(SUM(AB$5:AB249)-Podsumowanie!E$9+1&gt;0,PMT(M249/12,P249+1-SUM(AB$5:AB249),N249),Y249),0),0)</f>
        <v>-561.9501052426959</v>
      </c>
      <c r="AA249" s="90">
        <f aca="true" t="shared" si="644" ref="AA249:AA251">Z249-Y249</f>
        <v>-526.2886420075345</v>
      </c>
      <c r="AB249" s="8">
        <f>IF(AND(Podsumowanie!E$7&lt;B249,SUM(AB$5:AB248)&lt;P248),1," ")</f>
        <v>1</v>
      </c>
      <c r="AD249" s="51">
        <f>IF(OR(B249&lt;Podsumowanie!E$12,Podsumowanie!E$12=""),-F249+S249,0)</f>
        <v>0</v>
      </c>
      <c r="AE249" s="51">
        <f t="shared" si="267"/>
        <v>561.9501052426959</v>
      </c>
      <c r="AG249" s="10">
        <f>Podsumowanie!E$4-SUM(AI$5:AI248)+SUM(W$42:W249)-SUM(X$42:X249)</f>
        <v>91941.84813555247</v>
      </c>
      <c r="AH249" s="10">
        <f aca="true" t="shared" si="645" ref="AH249:AH251">IF(AB249=1,ROUND(AG249*M249/12,2),0)</f>
        <v>32.95</v>
      </c>
      <c r="AI249" s="10">
        <f aca="true" t="shared" si="646" ref="AI249:AI251">IF(Q249="tak",0,IF(AB249=1,ROUND(AG249/(P249-K249+1),2),0))</f>
        <v>505.17</v>
      </c>
      <c r="AJ249" s="10">
        <f aca="true" t="shared" si="647" ref="AJ249:AJ251">AI249+AH249</f>
        <v>538.12</v>
      </c>
      <c r="AK249" s="10">
        <f aca="true" t="shared" si="648" ref="AK249:AK251">ROUND(AJ249*D249,2)</f>
        <v>2491.3</v>
      </c>
      <c r="AL249" s="10">
        <f>Podsumowanie!E$2-SUM(AN$5:AN248)+SUM(R$42:R249)-SUM(S$42:S249)</f>
        <v>202785.30999999974</v>
      </c>
      <c r="AM249" s="10">
        <f aca="true" t="shared" si="649" ref="AM249:AM251">IF(AB249=1,ROUND(AL249*M249/12,2),0)</f>
        <v>72.66</v>
      </c>
      <c r="AN249" s="10">
        <f aca="true" t="shared" si="650" ref="AN249:AN251">IF(Q249="tak",0,IF(AB249=1,ROUND(AL249/(P249-K249+1),2),0))</f>
        <v>1114.21</v>
      </c>
      <c r="AO249" s="10">
        <f aca="true" t="shared" si="651" ref="AO249:AO251">AN249+AM249</f>
        <v>1186.8700000000001</v>
      </c>
      <c r="AP249" s="10">
        <f aca="true" t="shared" si="652" ref="AP249:AP251">AK249-AO249</f>
        <v>1304.43</v>
      </c>
      <c r="AR249" s="43">
        <f aca="true" t="shared" si="653" ref="AR249:AR251">B249</f>
        <v>44682</v>
      </c>
      <c r="AS249" s="11">
        <f>AS$5+SUM(AV$5:AV248)-SUM(X$5:X249)+SUM(W$5:W249)</f>
        <v>96534.75164122791</v>
      </c>
      <c r="AT249" s="10">
        <f aca="true" t="shared" si="654" ref="AT249:AT251">IF(AB249=1,-AS249*M249/12,0)</f>
        <v>-34.59161933810667</v>
      </c>
      <c r="AU249" s="10">
        <f>IF(AB249=1,IF(Q249="tak",AT249,PMT(M249/12,P249+1-SUM(AB$5:AB249),AS249)),0)</f>
        <v>-545.0916020854148</v>
      </c>
      <c r="AV249" s="10">
        <f aca="true" t="shared" si="655" ref="AV249:AV251">AU249-AT249</f>
        <v>-510.49998274730814</v>
      </c>
      <c r="AW249" s="10">
        <f aca="true" t="shared" si="656" ref="AW249:AW251">AU249*C249</f>
        <v>-2450.0777330535225</v>
      </c>
      <c r="AY249" s="11">
        <f>AY$5+SUM(BA$5:BA248)+SUM(W$5:W248)-SUM(X$5:X248)</f>
        <v>89183.42719148564</v>
      </c>
      <c r="AZ249" s="11">
        <f aca="true" t="shared" si="657" ref="AZ249:AZ251">IF(AB249=1,-AS249*M249/12,0)</f>
        <v>-34.59161933810667</v>
      </c>
      <c r="BA249" s="11">
        <f aca="true" t="shared" si="658" ref="BA249:BA251">IF(AB249=1,IF(Q249="tak",0,ROUND(-AY249/(P249-K249+1),2)),0)</f>
        <v>-490.02</v>
      </c>
      <c r="BB249" s="11">
        <f aca="true" t="shared" si="659" ref="BB249:BB251">BA249+AZ249</f>
        <v>-524.6116193381066</v>
      </c>
      <c r="BC249" s="11">
        <f aca="true" t="shared" si="660" ref="BC249:BC251">BB249*C249</f>
        <v>-2358.0243066009216</v>
      </c>
      <c r="BE249" s="172">
        <f aca="true" t="shared" si="661" ref="BE249:BE251">VLOOKUP(B249,Oproc,5)</f>
        <v>0.0642</v>
      </c>
      <c r="BF249" s="44">
        <f>BE249+Podsumowanie!$E$6</f>
        <v>0.07619999999999999</v>
      </c>
      <c r="BG249" s="11">
        <f>BG$5+SUM(BH$5:BH248)+SUM(R$5:R248)-SUM(S$5:S248)</f>
        <v>259366.07489783232</v>
      </c>
      <c r="BH249" s="10">
        <f aca="true" t="shared" si="662" ref="BH249:BH251">IF(BJ249&lt;0,BJ249-BI249,0)</f>
        <v>-753.8478957291211</v>
      </c>
      <c r="BI249" s="10">
        <f aca="true" t="shared" si="663" ref="BI249:BI251">IF(BJ249&lt;0,-BG249*BF249/12,0)</f>
        <v>-1646.974575601235</v>
      </c>
      <c r="BJ249" s="10">
        <f>IF(U249&lt;0,PMT(BF249/12,Podsumowanie!E$8-SUM(AB$5:AB249)+1,BG249),0)</f>
        <v>-2400.822471330356</v>
      </c>
      <c r="BL249" s="11">
        <f>BL$5+SUM(BN$5:BN248)+SUM(R$5:R248)-SUM(S$5:S248)</f>
        <v>202785.51532033467</v>
      </c>
      <c r="BM249" s="11">
        <f aca="true" t="shared" si="664" ref="BM249:BM251">IF(AB249=1,-BF249*BL249/12,0)</f>
        <v>-1287.688022284125</v>
      </c>
      <c r="BN249" s="11">
        <f aca="true" t="shared" si="665" ref="BN249:BN251">IF(AB249=1,-BL249/(P249-K249+1),0)</f>
        <v>-1114.206128133707</v>
      </c>
      <c r="BO249" s="11">
        <f aca="true" t="shared" si="666" ref="BO249:BO251">BN249+BM249</f>
        <v>-2401.894150417832</v>
      </c>
      <c r="BQ249" s="44">
        <f aca="true" t="shared" si="667" ref="BQ249:BQ251">BE249+$BQ$4</f>
        <v>0.07629999999999999</v>
      </c>
      <c r="BR249" s="11">
        <f>BR$5+SUM(BS$5:BS248)+SUM(R$5:R248)-SUM(S$5:S248)+SUM(BV$5:BV248)</f>
        <v>243441.18993048195</v>
      </c>
      <c r="BS249" s="10">
        <f aca="true" t="shared" si="668" ref="BS249:BS251">IF(BU249&lt;0,BU249-BT249,0)</f>
        <v>-706.9279775168561</v>
      </c>
      <c r="BT249" s="10">
        <f aca="true" t="shared" si="669" ref="BT249:BT251">IF(BU249&lt;0,-BR249*BQ249/12,0)</f>
        <v>-1547.8802326413143</v>
      </c>
      <c r="BU249" s="10">
        <f>IF(U249&lt;0,PMT(BQ249/12,Podsumowanie!E$8-SUM(AB$5:AB249)+1,BR249),0)</f>
        <v>-2254.8082101581704</v>
      </c>
      <c r="BV249" s="10">
        <f aca="true" t="shared" si="670" ref="BV249:BV251">F249-BU249</f>
        <v>-346.8207228780452</v>
      </c>
      <c r="BX249" s="11">
        <f>BX$5+SUM(BZ$5:BZ248)+SUM(R$5:R248)-SUM(S$5:S248)+SUM(CB$5,CB248)</f>
        <v>202510.0308564903</v>
      </c>
      <c r="BY249" s="10">
        <f aca="true" t="shared" si="671" ref="BY249:BY251">IF(AB249=1,-BQ249*BX249/12,0)</f>
        <v>-1287.626279529184</v>
      </c>
      <c r="BZ249" s="10">
        <f aca="true" t="shared" si="672" ref="BZ249:BZ251">IF(AB249=1,-BX249/(P249-K249+1),0)</f>
        <v>-1112.6924772334633</v>
      </c>
      <c r="CA249" s="10">
        <f aca="true" t="shared" si="673" ref="CA249:CA251">BZ249+BY249</f>
        <v>-2400.3187567626474</v>
      </c>
      <c r="CB249" s="10">
        <f aca="true" t="shared" si="674" ref="CB249:CB251">$F249-CA249</f>
        <v>-201.31017627356823</v>
      </c>
      <c r="CD249" s="10">
        <f>CD$5+SUM(CE$5:CE248)+SUM(R$5:R248)-SUM(S$5:S248)-SUM(CF$5:CF248)</f>
        <v>210861.18868545938</v>
      </c>
      <c r="CE249" s="10">
        <f aca="true" t="shared" si="675" ref="CE249:CE251">IF(AB249=1,BQ249*BX249/12,0)</f>
        <v>1287.626279529184</v>
      </c>
      <c r="CF249" s="10">
        <f aca="true" t="shared" si="676" ref="CF249:CF251">-F249</f>
        <v>2601.6289330362156</v>
      </c>
      <c r="CG249" s="10">
        <f aca="true" t="shared" si="677" ref="CG249:CG251">CF249-CE249</f>
        <v>1314.0026535070315</v>
      </c>
      <c r="CI249" s="44">
        <v>0.1571</v>
      </c>
      <c r="CJ249" s="10">
        <f t="shared" si="272"/>
        <v>-408.72</v>
      </c>
      <c r="CK249" s="4">
        <f t="shared" si="277"/>
        <v>0</v>
      </c>
      <c r="CM249" s="10">
        <f t="shared" si="278"/>
        <v>-388097.86538818193</v>
      </c>
      <c r="CN249" s="4">
        <f t="shared" si="279"/>
        <v>-2076.323579826773</v>
      </c>
    </row>
    <row r="250" spans="1:92" ht="15.75">
      <c r="A250" s="36"/>
      <c r="B250" s="37">
        <v>44713</v>
      </c>
      <c r="C250" s="77">
        <f t="shared" si="635"/>
        <v>4.529</v>
      </c>
      <c r="D250" s="79">
        <f>C250*(1+Podsumowanie!E$11)</f>
        <v>4.66487</v>
      </c>
      <c r="E250" s="34">
        <f t="shared" si="636"/>
        <v>-561.9501052426958</v>
      </c>
      <c r="F250" s="7">
        <f t="shared" si="637"/>
        <v>-2621.4241874434942</v>
      </c>
      <c r="G250" s="7">
        <f t="shared" si="638"/>
        <v>-1239.4292848218167</v>
      </c>
      <c r="H250" s="7">
        <f t="shared" si="639"/>
        <v>1381.9949026216775</v>
      </c>
      <c r="I250" s="32"/>
      <c r="K250" s="4">
        <f>IF(B250&lt;Podsumowanie!E$7,0,K249+1)</f>
        <v>180</v>
      </c>
      <c r="L250" s="100">
        <f t="shared" si="640"/>
        <v>-0.0077</v>
      </c>
      <c r="M250" s="38">
        <f>L250+Podsumowanie!E$6</f>
        <v>0.0043</v>
      </c>
      <c r="N250" s="101">
        <f>MAX(Podsumowanie!E$4+SUM(AA$5:AA249)-SUM(X$5:X250)+SUM(W$5:W250),0)</f>
        <v>98994.0738747223</v>
      </c>
      <c r="O250" s="102">
        <f>MAX(Podsumowanie!E$2+SUM(V$5:V249)-SUM(S$5:S250)+SUM(R$5:R250),0)</f>
        <v>218339.94342105326</v>
      </c>
      <c r="P250" s="39">
        <f t="shared" si="401"/>
        <v>360</v>
      </c>
      <c r="Q250" s="40" t="str">
        <f>IF(AND(K250&gt;0,K250&lt;=Podsumowanie!E$9),"tak","nie")</f>
        <v>nie</v>
      </c>
      <c r="R250" s="41"/>
      <c r="S250" s="42"/>
      <c r="T250" s="88">
        <f t="shared" si="641"/>
        <v>-78.23847972587741</v>
      </c>
      <c r="U250" s="89">
        <f>IF(Q250="tak",T250,IF(P250-SUM(AB$5:AB250)+1&gt;0,IF(Podsumowanie!E$7&lt;B250,IF(SUM(AB$5:AB250)-Podsumowanie!E$9+1&gt;0,PMT(M250/12,P250+1-SUM(AB$5:AB250),O250),T250),0),0))</f>
        <v>-1239.4292848218167</v>
      </c>
      <c r="V250" s="89">
        <f t="shared" si="642"/>
        <v>-1161.1908050959394</v>
      </c>
      <c r="W250" s="90" t="str">
        <f>IF(R250&gt;0,R250/(C250*(1-Podsumowanie!E$11))," ")</f>
        <v xml:space="preserve"> </v>
      </c>
      <c r="X250" s="90">
        <f t="shared" si="266"/>
        <v>0</v>
      </c>
      <c r="Y250" s="91">
        <f t="shared" si="643"/>
        <v>-35.472876471775486</v>
      </c>
      <c r="Z250" s="90">
        <f>IF(P250-SUM(AB$5:AB250)+1&gt;0,IF(Podsumowanie!E$7&lt;B250,IF(SUM(AB$5:AB250)-Podsumowanie!E$9+1&gt;0,PMT(M250/12,P250+1-SUM(AB$5:AB250),N250),Y250),0),0)</f>
        <v>-561.9501052426958</v>
      </c>
      <c r="AA250" s="90">
        <f t="shared" si="644"/>
        <v>-526.4772287709203</v>
      </c>
      <c r="AB250" s="8">
        <f>IF(AND(Podsumowanie!E$7&lt;B250,SUM(AB$5:AB249)&lt;P249),1," ")</f>
        <v>1</v>
      </c>
      <c r="AD250" s="51">
        <f>IF(OR(B250&lt;Podsumowanie!E$12,Podsumowanie!E$12=""),-F250+S250,0)</f>
        <v>0</v>
      </c>
      <c r="AE250" s="51">
        <f t="shared" si="267"/>
        <v>561.9501052426958</v>
      </c>
      <c r="AG250" s="10">
        <f>Podsumowanie!E$4-SUM(AI$5:AI249)+SUM(W$42:W250)-SUM(X$42:X250)</f>
        <v>91436.67813555247</v>
      </c>
      <c r="AH250" s="10">
        <f t="shared" si="645"/>
        <v>32.76</v>
      </c>
      <c r="AI250" s="10">
        <f t="shared" si="646"/>
        <v>505.18</v>
      </c>
      <c r="AJ250" s="10">
        <f t="shared" si="647"/>
        <v>537.94</v>
      </c>
      <c r="AK250" s="10">
        <f t="shared" si="648"/>
        <v>2509.42</v>
      </c>
      <c r="AL250" s="10">
        <f>Podsumowanie!E$2-SUM(AN$5:AN249)+SUM(R$42:R250)-SUM(S$42:S250)</f>
        <v>201671.09999999974</v>
      </c>
      <c r="AM250" s="10">
        <f t="shared" si="649"/>
        <v>72.27</v>
      </c>
      <c r="AN250" s="10">
        <f t="shared" si="650"/>
        <v>1114.2</v>
      </c>
      <c r="AO250" s="10">
        <f t="shared" si="651"/>
        <v>1186.47</v>
      </c>
      <c r="AP250" s="10">
        <f t="shared" si="652"/>
        <v>1322.95</v>
      </c>
      <c r="AR250" s="43">
        <f t="shared" si="653"/>
        <v>44713</v>
      </c>
      <c r="AS250" s="11">
        <f>AS$5+SUM(AV$5:AV249)-SUM(X$5:X250)+SUM(W$5:W250)</f>
        <v>96024.2516584806</v>
      </c>
      <c r="AT250" s="10">
        <f t="shared" si="654"/>
        <v>-34.40869017762221</v>
      </c>
      <c r="AU250" s="10">
        <f>IF(AB250=1,IF(Q250="tak",AT250,PMT(M250/12,P250+1-SUM(AB$5:AB250),AS250)),0)</f>
        <v>-545.0916020854148</v>
      </c>
      <c r="AV250" s="10">
        <f t="shared" si="655"/>
        <v>-510.68291190779263</v>
      </c>
      <c r="AW250" s="10">
        <f t="shared" si="656"/>
        <v>-2468.7198658448438</v>
      </c>
      <c r="AY250" s="11">
        <f>AY$5+SUM(BA$5:BA249)+SUM(W$5:W249)-SUM(X$5:X249)</f>
        <v>88693.40719148563</v>
      </c>
      <c r="AZ250" s="11">
        <f t="shared" si="657"/>
        <v>-34.40869017762221</v>
      </c>
      <c r="BA250" s="11">
        <f t="shared" si="658"/>
        <v>-490.02</v>
      </c>
      <c r="BB250" s="11">
        <f t="shared" si="659"/>
        <v>-524.4286901776222</v>
      </c>
      <c r="BC250" s="11">
        <f t="shared" si="660"/>
        <v>-2375.137537814451</v>
      </c>
      <c r="BE250" s="172">
        <f t="shared" si="661"/>
        <v>0.0685</v>
      </c>
      <c r="BF250" s="44">
        <f>BE250+Podsumowanie!$E$6</f>
        <v>0.0805</v>
      </c>
      <c r="BG250" s="11">
        <f>BG$5+SUM(BH$5:BH249)+SUM(R$5:R249)-SUM(S$5:S249)</f>
        <v>258612.2270021032</v>
      </c>
      <c r="BH250" s="10">
        <f t="shared" si="662"/>
        <v>-730.0049953024707</v>
      </c>
      <c r="BI250" s="10">
        <f t="shared" si="663"/>
        <v>-1734.8570228057758</v>
      </c>
      <c r="BJ250" s="10">
        <f>IF(U250&lt;0,PMT(BF250/12,Podsumowanie!E$8-SUM(AB$5:AB250)+1,BG250),0)</f>
        <v>-2464.8620181082465</v>
      </c>
      <c r="BL250" s="11">
        <f>BL$5+SUM(BN$5:BN249)+SUM(R$5:R249)-SUM(S$5:S249)</f>
        <v>201671.30919220098</v>
      </c>
      <c r="BM250" s="11">
        <f t="shared" si="664"/>
        <v>-1352.878365831015</v>
      </c>
      <c r="BN250" s="11">
        <f t="shared" si="665"/>
        <v>-1114.2061281337071</v>
      </c>
      <c r="BO250" s="11">
        <f t="shared" si="666"/>
        <v>-2467.0844939647222</v>
      </c>
      <c r="BQ250" s="44">
        <f t="shared" si="667"/>
        <v>0.0806</v>
      </c>
      <c r="BR250" s="11">
        <f>BR$5+SUM(BS$5:BS249)+SUM(R$5:R249)-SUM(S$5:S249)+SUM(BV$5:BV249)</f>
        <v>242387.44123008705</v>
      </c>
      <c r="BS250" s="10">
        <f t="shared" si="668"/>
        <v>-683.591641475907</v>
      </c>
      <c r="BT250" s="10">
        <f t="shared" si="669"/>
        <v>-1628.0356469287515</v>
      </c>
      <c r="BU250" s="10">
        <f>IF(U250&lt;0,PMT(BQ250/12,Podsumowanie!E$8-SUM(AB$5:AB250)+1,BR250),0)</f>
        <v>-2311.6272884046584</v>
      </c>
      <c r="BV250" s="10">
        <f t="shared" si="670"/>
        <v>-309.7968990388358</v>
      </c>
      <c r="BX250" s="11">
        <f>BX$5+SUM(BZ$5:BZ249)+SUM(R$5:R249)-SUM(S$5:S249)+SUM(CB$5,CB249)</f>
        <v>201583.23516162235</v>
      </c>
      <c r="BY250" s="10">
        <f t="shared" si="671"/>
        <v>-1353.9673961688968</v>
      </c>
      <c r="BZ250" s="10">
        <f t="shared" si="672"/>
        <v>-1113.7195312796814</v>
      </c>
      <c r="CA250" s="10">
        <f t="shared" si="673"/>
        <v>-2467.686927448578</v>
      </c>
      <c r="CB250" s="10">
        <f t="shared" si="674"/>
        <v>-153.73725999491626</v>
      </c>
      <c r="CD250" s="10">
        <f>CD$5+SUM(CE$5:CE249)+SUM(R$5:R249)-SUM(S$5:S249)-SUM(CF$5:CF249)</f>
        <v>209547.18603195233</v>
      </c>
      <c r="CE250" s="10">
        <f t="shared" si="675"/>
        <v>1353.9673961688968</v>
      </c>
      <c r="CF250" s="10">
        <f t="shared" si="676"/>
        <v>2621.4241874434942</v>
      </c>
      <c r="CG250" s="10">
        <f t="shared" si="677"/>
        <v>1267.4567912745974</v>
      </c>
      <c r="CI250" s="44">
        <v>0.1377</v>
      </c>
      <c r="CJ250" s="10">
        <f t="shared" si="272"/>
        <v>-360.97</v>
      </c>
      <c r="CK250" s="4">
        <f t="shared" si="277"/>
        <v>0</v>
      </c>
      <c r="CM250" s="10">
        <f t="shared" si="278"/>
        <v>-390719.28957562544</v>
      </c>
      <c r="CN250" s="4">
        <f t="shared" si="279"/>
        <v>-2230.355944660862</v>
      </c>
    </row>
    <row r="251" spans="1:92" ht="15.75">
      <c r="A251" s="36"/>
      <c r="B251" s="37">
        <v>44743</v>
      </c>
      <c r="C251" s="77">
        <f t="shared" si="635"/>
        <v>4.8337</v>
      </c>
      <c r="D251" s="79">
        <f>C251*(1+Podsumowanie!E$11)</f>
        <v>4.9787110000000006</v>
      </c>
      <c r="E251" s="34">
        <f t="shared" si="636"/>
        <v>-561.950105242696</v>
      </c>
      <c r="F251" s="7">
        <f t="shared" si="637"/>
        <v>-2797.7871704229688</v>
      </c>
      <c r="G251" s="7">
        <f t="shared" si="638"/>
        <v>-1239.429284821817</v>
      </c>
      <c r="H251" s="7">
        <f t="shared" si="639"/>
        <v>1558.3578856011518</v>
      </c>
      <c r="I251" s="32"/>
      <c r="K251" s="4">
        <f>IF(B251&lt;Podsumowanie!E$7,0,K250+1)</f>
        <v>181</v>
      </c>
      <c r="L251" s="100">
        <f t="shared" si="640"/>
        <v>-0.0077</v>
      </c>
      <c r="M251" s="38">
        <f>L251+Podsumowanie!E$6</f>
        <v>0.0043</v>
      </c>
      <c r="N251" s="101">
        <f>MAX(Podsumowanie!E$4+SUM(AA$5:AA250)-SUM(X$5:X251)+SUM(W$5:W251),0)</f>
        <v>98467.59664595137</v>
      </c>
      <c r="O251" s="102">
        <f>MAX(Podsumowanie!E$2+SUM(V$5:V250)-SUM(S$5:S251)+SUM(R$5:R251),0)</f>
        <v>217178.75261595732</v>
      </c>
      <c r="P251" s="39">
        <f t="shared" si="401"/>
        <v>360</v>
      </c>
      <c r="Q251" s="40" t="str">
        <f>IF(AND(K251&gt;0,K251&lt;=Podsumowanie!E$9),"tak","nie")</f>
        <v>nie</v>
      </c>
      <c r="R251" s="41"/>
      <c r="S251" s="42"/>
      <c r="T251" s="88">
        <f t="shared" si="641"/>
        <v>-77.82238635405137</v>
      </c>
      <c r="U251" s="89">
        <f>IF(Q251="tak",T251,IF(P251-SUM(AB$5:AB251)+1&gt;0,IF(Podsumowanie!E$7&lt;B251,IF(SUM(AB$5:AB251)-Podsumowanie!E$9+1&gt;0,PMT(M251/12,P251+1-SUM(AB$5:AB251),O251),T251),0),0))</f>
        <v>-1239.429284821817</v>
      </c>
      <c r="V251" s="89">
        <f t="shared" si="642"/>
        <v>-1161.6068984677656</v>
      </c>
      <c r="W251" s="90" t="str">
        <f>IF(R251&gt;0,R251/(C251*(1-Podsumowanie!E$11))," ")</f>
        <v xml:space="preserve"> </v>
      </c>
      <c r="X251" s="90">
        <f t="shared" si="266"/>
        <v>0</v>
      </c>
      <c r="Y251" s="91">
        <f t="shared" si="643"/>
        <v>-35.28422213146591</v>
      </c>
      <c r="Z251" s="90">
        <f>IF(P251-SUM(AB$5:AB251)+1&gt;0,IF(Podsumowanie!E$7&lt;B251,IF(SUM(AB$5:AB251)-Podsumowanie!E$9+1&gt;0,PMT(M251/12,P251+1-SUM(AB$5:AB251),N251),Y251),0),0)</f>
        <v>-561.950105242696</v>
      </c>
      <c r="AA251" s="90">
        <f t="shared" si="644"/>
        <v>-526.6658831112302</v>
      </c>
      <c r="AB251" s="8">
        <f>IF(AND(Podsumowanie!E$7&lt;B251,SUM(AB$5:AB250)&lt;P250),1," ")</f>
        <v>1</v>
      </c>
      <c r="AD251" s="51">
        <f>IF(OR(B251&lt;Podsumowanie!E$12,Podsumowanie!E$12=""),-F251+S251,0)</f>
        <v>0</v>
      </c>
      <c r="AE251" s="51">
        <f t="shared" si="267"/>
        <v>561.950105242696</v>
      </c>
      <c r="AG251" s="10">
        <f>Podsumowanie!E$4-SUM(AI$5:AI250)+SUM(W$42:W251)-SUM(X$42:X251)</f>
        <v>90931.49813555248</v>
      </c>
      <c r="AH251" s="10">
        <f t="shared" si="645"/>
        <v>32.58</v>
      </c>
      <c r="AI251" s="10">
        <f t="shared" si="646"/>
        <v>505.17</v>
      </c>
      <c r="AJ251" s="10">
        <f t="shared" si="647"/>
        <v>537.75</v>
      </c>
      <c r="AK251" s="10">
        <f t="shared" si="648"/>
        <v>2677.3</v>
      </c>
      <c r="AL251" s="10">
        <f>Podsumowanie!E$2-SUM(AN$5:AN250)+SUM(R$42:R251)-SUM(S$42:S251)</f>
        <v>200556.89999999973</v>
      </c>
      <c r="AM251" s="10">
        <f t="shared" si="649"/>
        <v>71.87</v>
      </c>
      <c r="AN251" s="10">
        <f t="shared" si="650"/>
        <v>1114.21</v>
      </c>
      <c r="AO251" s="10">
        <f t="shared" si="651"/>
        <v>1186.08</v>
      </c>
      <c r="AP251" s="10">
        <f t="shared" si="652"/>
        <v>1491.2200000000003</v>
      </c>
      <c r="AR251" s="43">
        <f t="shared" si="653"/>
        <v>44743</v>
      </c>
      <c r="AS251" s="11">
        <f>AS$5+SUM(AV$5:AV250)-SUM(X$5:X251)+SUM(W$5:W251)</f>
        <v>95513.56874657281</v>
      </c>
      <c r="AT251" s="10">
        <f t="shared" si="654"/>
        <v>-34.22569546752192</v>
      </c>
      <c r="AU251" s="10">
        <f>IF(AB251=1,IF(Q251="tak",AT251,PMT(M251/12,P251+1-SUM(AB$5:AB251),AS251)),0)</f>
        <v>-545.0916020854149</v>
      </c>
      <c r="AV251" s="10">
        <f t="shared" si="655"/>
        <v>-510.865906617893</v>
      </c>
      <c r="AW251" s="10">
        <f t="shared" si="656"/>
        <v>-2634.8092770002704</v>
      </c>
      <c r="AY251" s="11">
        <f>AY$5+SUM(BA$5:BA250)+SUM(W$5:W250)-SUM(X$5:X250)</f>
        <v>88203.38719148563</v>
      </c>
      <c r="AZ251" s="11">
        <f t="shared" si="657"/>
        <v>-34.22569546752192</v>
      </c>
      <c r="BA251" s="11">
        <f t="shared" si="658"/>
        <v>-490.02</v>
      </c>
      <c r="BB251" s="11">
        <f t="shared" si="659"/>
        <v>-524.245695467522</v>
      </c>
      <c r="BC251" s="11">
        <f t="shared" si="660"/>
        <v>-2534.046418181361</v>
      </c>
      <c r="BE251" s="172">
        <f t="shared" si="661"/>
        <v>0.0705</v>
      </c>
      <c r="BF251" s="44">
        <f>BE251+Podsumowanie!$E$6</f>
        <v>0.08249999999999999</v>
      </c>
      <c r="BG251" s="11">
        <f>BG$5+SUM(BH$5:BH250)+SUM(R$5:R250)-SUM(S$5:S250)</f>
        <v>257882.22200680073</v>
      </c>
      <c r="BH251" s="10">
        <f t="shared" si="662"/>
        <v>-721.8760243196994</v>
      </c>
      <c r="BI251" s="10">
        <f t="shared" si="663"/>
        <v>-1772.9402762967547</v>
      </c>
      <c r="BJ251" s="10">
        <f>IF(U251&lt;0,PMT(BF251/12,Podsumowanie!E$8-SUM(AB$5:AB251)+1,BG251),0)</f>
        <v>-2494.816300616454</v>
      </c>
      <c r="BL251" s="11">
        <f>BL$5+SUM(BN$5:BN250)+SUM(R$5:R250)-SUM(S$5:S250)</f>
        <v>200557.10306406728</v>
      </c>
      <c r="BM251" s="11">
        <f t="shared" si="664"/>
        <v>-1378.8300835654625</v>
      </c>
      <c r="BN251" s="11">
        <f t="shared" si="665"/>
        <v>-1114.2061281337071</v>
      </c>
      <c r="BO251" s="11">
        <f t="shared" si="666"/>
        <v>-2493.0362116991696</v>
      </c>
      <c r="BQ251" s="44">
        <f t="shared" si="667"/>
        <v>0.08259999999999999</v>
      </c>
      <c r="BR251" s="11">
        <f>BR$5+SUM(BS$5:BS250)+SUM(R$5:R250)-SUM(S$5:S250)+SUM(BV$5:BV250)</f>
        <v>241394.0526895723</v>
      </c>
      <c r="BS251" s="10">
        <f t="shared" si="668"/>
        <v>-675.1164313277698</v>
      </c>
      <c r="BT251" s="10">
        <f t="shared" si="669"/>
        <v>-1661.595729346556</v>
      </c>
      <c r="BU251" s="10">
        <f>IF(U251&lt;0,PMT(BQ251/12,Podsumowanie!E$8-SUM(AB$5:AB251)+1,BR251),0)</f>
        <v>-2336.712160674326</v>
      </c>
      <c r="BV251" s="10">
        <f t="shared" si="670"/>
        <v>-461.07500974864297</v>
      </c>
      <c r="BX251" s="11">
        <f>BX$5+SUM(BZ$5:BZ250)+SUM(R$5:R250)-SUM(S$5:S250)+SUM(CB$5,CB250)</f>
        <v>200517.08854662132</v>
      </c>
      <c r="BY251" s="10">
        <f t="shared" si="671"/>
        <v>-1380.2259594959098</v>
      </c>
      <c r="BZ251" s="10">
        <f t="shared" si="672"/>
        <v>-1113.9838252590073</v>
      </c>
      <c r="CA251" s="10">
        <f t="shared" si="673"/>
        <v>-2494.209784754917</v>
      </c>
      <c r="CB251" s="10">
        <f t="shared" si="674"/>
        <v>-303.57738566805165</v>
      </c>
      <c r="CD251" s="10">
        <f>CD$5+SUM(CE$5:CE250)+SUM(R$5:R250)-SUM(S$5:S250)-SUM(CF$5:CF250)</f>
        <v>208279.72924067767</v>
      </c>
      <c r="CE251" s="10">
        <f t="shared" si="675"/>
        <v>1380.2259594959098</v>
      </c>
      <c r="CF251" s="10">
        <f t="shared" si="676"/>
        <v>2797.7871704229688</v>
      </c>
      <c r="CG251" s="10">
        <f t="shared" si="677"/>
        <v>1417.561210927059</v>
      </c>
      <c r="CI251" s="44">
        <v>0.1209</v>
      </c>
      <c r="CJ251" s="10">
        <f t="shared" si="272"/>
        <v>-338.25</v>
      </c>
      <c r="CK251" s="4">
        <f t="shared" si="277"/>
        <v>0</v>
      </c>
      <c r="CM251" s="10">
        <f t="shared" si="278"/>
        <v>-393517.0767460484</v>
      </c>
      <c r="CN251" s="4">
        <f t="shared" si="279"/>
        <v>-2311.912825883034</v>
      </c>
    </row>
    <row r="252" spans="1:92" ht="15.75">
      <c r="A252" s="36"/>
      <c r="B252" s="37">
        <v>44774</v>
      </c>
      <c r="C252" s="77">
        <f aca="true" t="shared" si="678" ref="C252">VLOOKUP(B252,Kursy,C$2)</f>
        <v>4.8714</v>
      </c>
      <c r="D252" s="79">
        <f>C252*(1+Podsumowanie!E$11)</f>
        <v>5.017542000000001</v>
      </c>
      <c r="E252" s="34">
        <f aca="true" t="shared" si="679" ref="E252">Z252</f>
        <v>-561.9501052426959</v>
      </c>
      <c r="F252" s="7">
        <f aca="true" t="shared" si="680" ref="F252">E252*D252</f>
        <v>-2819.6082549596476</v>
      </c>
      <c r="G252" s="7">
        <f aca="true" t="shared" si="681" ref="G252">U252</f>
        <v>-1239.4292848218167</v>
      </c>
      <c r="H252" s="7">
        <f aca="true" t="shared" si="682" ref="H252">G252-F252</f>
        <v>1580.178970137831</v>
      </c>
      <c r="I252" s="32"/>
      <c r="K252" s="4">
        <f>IF(B252&lt;Podsumowanie!E$7,0,K251+1)</f>
        <v>182</v>
      </c>
      <c r="L252" s="100">
        <f aca="true" t="shared" si="683" ref="L252">VLOOKUP(B252,Oproc,C$2)</f>
        <v>-0.0077</v>
      </c>
      <c r="M252" s="38">
        <f>L252+Podsumowanie!E$6</f>
        <v>0.0043</v>
      </c>
      <c r="N252" s="101">
        <f>MAX(Podsumowanie!E$4+SUM(AA$5:AA251)-SUM(X$5:X252)+SUM(W$5:W252),0)</f>
        <v>97940.93076284014</v>
      </c>
      <c r="O252" s="102">
        <f>MAX(Podsumowanie!E$2+SUM(V$5:V251)-SUM(S$5:S252)+SUM(R$5:R252),0)</f>
        <v>216017.14571748956</v>
      </c>
      <c r="P252" s="39">
        <f t="shared" si="401"/>
        <v>360</v>
      </c>
      <c r="Q252" s="40" t="str">
        <f>IF(AND(K252&gt;0,K252&lt;=Podsumowanie!E$9),"tak","nie")</f>
        <v>nie</v>
      </c>
      <c r="R252" s="41"/>
      <c r="S252" s="42"/>
      <c r="T252" s="88">
        <f aca="true" t="shared" si="684" ref="T252">IF(AB252=1,-O252*M252/12,0)</f>
        <v>-77.40614388210042</v>
      </c>
      <c r="U252" s="89">
        <f>IF(Q252="tak",T252,IF(P252-SUM(AB$5:AB252)+1&gt;0,IF(Podsumowanie!E$7&lt;B252,IF(SUM(AB$5:AB252)-Podsumowanie!E$9+1&gt;0,PMT(M252/12,P252+1-SUM(AB$5:AB252),O252),T252),0),0))</f>
        <v>-1239.4292848218167</v>
      </c>
      <c r="V252" s="89">
        <f aca="true" t="shared" si="685" ref="V252">U252-T252</f>
        <v>-1162.0231409397163</v>
      </c>
      <c r="W252" s="90" t="str">
        <f>IF(R252&gt;0,R252/(C252*(1-Podsumowanie!E$11))," ")</f>
        <v xml:space="preserve"> </v>
      </c>
      <c r="X252" s="90">
        <f t="shared" si="266"/>
        <v>0</v>
      </c>
      <c r="Y252" s="91">
        <f aca="true" t="shared" si="686" ref="Y252">IF(AB252=1,-N252*M252/12,0)</f>
        <v>-35.09550019001772</v>
      </c>
      <c r="Z252" s="90">
        <f>IF(P252-SUM(AB$5:AB252)+1&gt;0,IF(Podsumowanie!E$7&lt;B252,IF(SUM(AB$5:AB252)-Podsumowanie!E$9+1&gt;0,PMT(M252/12,P252+1-SUM(AB$5:AB252),N252),Y252),0),0)</f>
        <v>-561.9501052426959</v>
      </c>
      <c r="AA252" s="90">
        <f aca="true" t="shared" si="687" ref="AA252">Z252-Y252</f>
        <v>-526.8546050526783</v>
      </c>
      <c r="AB252" s="8">
        <f>IF(AND(Podsumowanie!E$7&lt;B252,SUM(AB$5:AB251)&lt;P251),1," ")</f>
        <v>1</v>
      </c>
      <c r="AD252" s="51">
        <f>IF(OR(B252&lt;Podsumowanie!E$12,Podsumowanie!E$12=""),-F252+S252,0)</f>
        <v>0</v>
      </c>
      <c r="AE252" s="51">
        <f t="shared" si="267"/>
        <v>561.9501052426959</v>
      </c>
      <c r="AG252" s="10">
        <f>Podsumowanie!E$4-SUM(AI$5:AI251)+SUM(W$42:W252)-SUM(X$42:X252)</f>
        <v>90426.32813555248</v>
      </c>
      <c r="AH252" s="10">
        <f aca="true" t="shared" si="688" ref="AH252">IF(AB252=1,ROUND(AG252*M252/12,2),0)</f>
        <v>32.4</v>
      </c>
      <c r="AI252" s="10">
        <f aca="true" t="shared" si="689" ref="AI252">IF(Q252="tak",0,IF(AB252=1,ROUND(AG252/(P252-K252+1),2),0))</f>
        <v>505.18</v>
      </c>
      <c r="AJ252" s="10">
        <f aca="true" t="shared" si="690" ref="AJ252">AI252+AH252</f>
        <v>537.58</v>
      </c>
      <c r="AK252" s="10">
        <f aca="true" t="shared" si="691" ref="AK252">ROUND(AJ252*D252,2)</f>
        <v>2697.33</v>
      </c>
      <c r="AL252" s="10">
        <f>Podsumowanie!E$2-SUM(AN$5:AN251)+SUM(R$42:R252)-SUM(S$42:S252)</f>
        <v>199442.68999999974</v>
      </c>
      <c r="AM252" s="10">
        <f aca="true" t="shared" si="692" ref="AM252">IF(AB252=1,ROUND(AL252*M252/12,2),0)</f>
        <v>71.47</v>
      </c>
      <c r="AN252" s="10">
        <f aca="true" t="shared" si="693" ref="AN252">IF(Q252="tak",0,IF(AB252=1,ROUND(AL252/(P252-K252+1),2),0))</f>
        <v>1114.2</v>
      </c>
      <c r="AO252" s="10">
        <f aca="true" t="shared" si="694" ref="AO252">AN252+AM252</f>
        <v>1185.67</v>
      </c>
      <c r="AP252" s="10">
        <f aca="true" t="shared" si="695" ref="AP252">AK252-AO252</f>
        <v>1511.6599999999999</v>
      </c>
      <c r="AR252" s="43">
        <f aca="true" t="shared" si="696" ref="AR252">B252</f>
        <v>44774</v>
      </c>
      <c r="AS252" s="11">
        <f>AS$5+SUM(AV$5:AV251)-SUM(X$5:X252)+SUM(W$5:W252)</f>
        <v>95002.70283995492</v>
      </c>
      <c r="AT252" s="10">
        <f aca="true" t="shared" si="697" ref="AT252">IF(AB252=1,-AS252*M252/12,0)</f>
        <v>-34.04263518431718</v>
      </c>
      <c r="AU252" s="10">
        <f>IF(AB252=1,IF(Q252="tak",AT252,PMT(M252/12,P252+1-SUM(AB$5:AB252),AS252)),0)</f>
        <v>-545.0916020854148</v>
      </c>
      <c r="AV252" s="10">
        <f aca="true" t="shared" si="698" ref="AV252">AU252-AT252</f>
        <v>-511.04896690109763</v>
      </c>
      <c r="AW252" s="10">
        <f aca="true" t="shared" si="699" ref="AW252">AU252*C252</f>
        <v>-2655.35923039889</v>
      </c>
      <c r="AY252" s="11">
        <f>AY$5+SUM(BA$5:BA251)+SUM(W$5:W251)-SUM(X$5:X251)</f>
        <v>87713.36719148562</v>
      </c>
      <c r="AZ252" s="11">
        <f aca="true" t="shared" si="700" ref="AZ252">IF(AB252=1,-AS252*M252/12,0)</f>
        <v>-34.04263518431718</v>
      </c>
      <c r="BA252" s="11">
        <f aca="true" t="shared" si="701" ref="BA252">IF(AB252=1,IF(Q252="tak",0,ROUND(-AY252/(P252-K252+1),2)),0)</f>
        <v>-490.02</v>
      </c>
      <c r="BB252" s="11">
        <f aca="true" t="shared" si="702" ref="BB252">BA252+AZ252</f>
        <v>-524.0626351843172</v>
      </c>
      <c r="BC252" s="11">
        <f aca="true" t="shared" si="703" ref="BC252">BB252*C252</f>
        <v>-2552.9187210368827</v>
      </c>
      <c r="BE252" s="172">
        <f aca="true" t="shared" si="704" ref="BE252">VLOOKUP(B252,Oproc,5)</f>
        <v>0.0705</v>
      </c>
      <c r="BF252" s="44">
        <f>BE252+Podsumowanie!$E$6</f>
        <v>0.08249999999999999</v>
      </c>
      <c r="BG252" s="11">
        <f>BG$5+SUM(BH$5:BH251)+SUM(R$5:R251)-SUM(S$5:S251)</f>
        <v>257160.34598248103</v>
      </c>
      <c r="BH252" s="10">
        <f aca="true" t="shared" si="705" ref="BH252">IF(BJ252&lt;0,BJ252-BI252,0)</f>
        <v>-726.838921986897</v>
      </c>
      <c r="BI252" s="10">
        <f aca="true" t="shared" si="706" ref="BI252">IF(BJ252&lt;0,-BG252*BF252/12,0)</f>
        <v>-1767.977378629557</v>
      </c>
      <c r="BJ252" s="10">
        <f>IF(U252&lt;0,PMT(BF252/12,Podsumowanie!E$8-SUM(AB$5:AB252)+1,BG252),0)</f>
        <v>-2494.816300616454</v>
      </c>
      <c r="BL252" s="11">
        <f>BL$5+SUM(BN$5:BN251)+SUM(R$5:R251)-SUM(S$5:S251)</f>
        <v>199442.8969359336</v>
      </c>
      <c r="BM252" s="11">
        <f aca="true" t="shared" si="707" ref="BM252">IF(AB252=1,-BF252*BL252/12,0)</f>
        <v>-1371.1699164345434</v>
      </c>
      <c r="BN252" s="11">
        <f aca="true" t="shared" si="708" ref="BN252">IF(AB252=1,-BL252/(P252-K252+1),0)</f>
        <v>-1114.2061281337071</v>
      </c>
      <c r="BO252" s="11">
        <f aca="true" t="shared" si="709" ref="BO252">BN252+BM252</f>
        <v>-2485.3760445682506</v>
      </c>
      <c r="BQ252" s="44">
        <f aca="true" t="shared" si="710" ref="BQ252">BE252+$BQ$4</f>
        <v>0.08259999999999999</v>
      </c>
      <c r="BR252" s="11">
        <f>BR$5+SUM(BS$5:BS251)+SUM(R$5:R251)-SUM(S$5:S251)+SUM(BV$5:BV251)</f>
        <v>240257.8612484959</v>
      </c>
      <c r="BS252" s="10">
        <f aca="true" t="shared" si="711" ref="BS252">IF(BU252&lt;0,BU252-BT252,0)</f>
        <v>-678.46145825585</v>
      </c>
      <c r="BT252" s="10">
        <f aca="true" t="shared" si="712" ref="BT252">IF(BU252&lt;0,-BR252*BQ252/12,0)</f>
        <v>-1653.7749449271466</v>
      </c>
      <c r="BU252" s="10">
        <f>IF(U252&lt;0,PMT(BQ252/12,Podsumowanie!E$8-SUM(AB$5:AB252)+1,BR252),0)</f>
        <v>-2332.2364031829966</v>
      </c>
      <c r="BV252" s="10">
        <f aca="true" t="shared" si="713" ref="BV252">F252-BU252</f>
        <v>-487.37185177665106</v>
      </c>
      <c r="BX252" s="11">
        <f>BX$5+SUM(BZ$5:BZ251)+SUM(R$5:R251)-SUM(S$5:S251)+SUM(CB$5,CB251)</f>
        <v>199253.2645956892</v>
      </c>
      <c r="BY252" s="10">
        <f aca="true" t="shared" si="714" ref="BY252">IF(AB252=1,-BQ252*BX252/12,0)</f>
        <v>-1371.5266379669938</v>
      </c>
      <c r="BZ252" s="10">
        <f aca="true" t="shared" si="715" ref="BZ252">IF(AB252=1,-BX252/(P252-K252+1),0)</f>
        <v>-1113.1467295848558</v>
      </c>
      <c r="CA252" s="10">
        <f aca="true" t="shared" si="716" ref="CA252">BZ252+BY252</f>
        <v>-2484.67336755185</v>
      </c>
      <c r="CB252" s="10">
        <f aca="true" t="shared" si="717" ref="CB252">$F252-CA252</f>
        <v>-334.93488740779776</v>
      </c>
      <c r="CD252" s="10">
        <f>CD$5+SUM(CE$5:CE251)+SUM(R$5:R251)-SUM(S$5:S251)-SUM(CF$5:CF251)</f>
        <v>206862.16802975058</v>
      </c>
      <c r="CE252" s="10">
        <f aca="true" t="shared" si="718" ref="CE252">IF(AB252=1,BQ252*BX252/12,0)</f>
        <v>1371.5266379669938</v>
      </c>
      <c r="CF252" s="10">
        <f aca="true" t="shared" si="719" ref="CF252">-F252</f>
        <v>2819.6082549596476</v>
      </c>
      <c r="CG252" s="10">
        <f aca="true" t="shared" si="720" ref="CG252">CF252-CE252</f>
        <v>1448.0816169926538</v>
      </c>
      <c r="CI252" s="44">
        <v>0.1153</v>
      </c>
      <c r="CJ252" s="10">
        <f t="shared" si="272"/>
        <v>-325.1</v>
      </c>
      <c r="CK252" s="4">
        <f t="shared" si="277"/>
        <v>0</v>
      </c>
      <c r="CM252" s="10">
        <f t="shared" si="278"/>
        <v>-396336.68500100804</v>
      </c>
      <c r="CN252" s="4">
        <f t="shared" si="279"/>
        <v>-2328.478024380922</v>
      </c>
    </row>
    <row r="253" spans="1:92" ht="15.75">
      <c r="A253" s="36"/>
      <c r="B253" s="37">
        <v>44805</v>
      </c>
      <c r="C253" s="77">
        <f aca="true" t="shared" si="721" ref="C253:C255">VLOOKUP(B253,Kursy,C$2)</f>
        <v>4.9137</v>
      </c>
      <c r="D253" s="79">
        <f>C253*(1+Podsumowanie!E$11)</f>
        <v>5.061111</v>
      </c>
      <c r="E253" s="34">
        <f aca="true" t="shared" si="722" ref="E253:E255">Z253</f>
        <v>-561.9501052426959</v>
      </c>
      <c r="F253" s="7">
        <f aca="true" t="shared" si="723" ref="F253:F255">E253*D253</f>
        <v>-2844.0918590949664</v>
      </c>
      <c r="G253" s="7">
        <f aca="true" t="shared" si="724" ref="G253:G255">U253</f>
        <v>-1239.429284821817</v>
      </c>
      <c r="H253" s="7">
        <f aca="true" t="shared" si="725" ref="H253:H255">G253-F253</f>
        <v>1604.6625742731494</v>
      </c>
      <c r="I253" s="32"/>
      <c r="K253" s="4">
        <f>IF(B253&lt;Podsumowanie!E$7,0,K252+1)</f>
        <v>183</v>
      </c>
      <c r="L253" s="100">
        <f aca="true" t="shared" si="726" ref="L253:L255">VLOOKUP(B253,Oproc,C$2)</f>
        <v>-0.0077</v>
      </c>
      <c r="M253" s="38">
        <f>L253+Podsumowanie!E$6</f>
        <v>0.0043</v>
      </c>
      <c r="N253" s="101">
        <f>MAX(Podsumowanie!E$4+SUM(AA$5:AA252)-SUM(X$5:X253)+SUM(W$5:W253),0)</f>
        <v>97414.07615778747</v>
      </c>
      <c r="O253" s="102">
        <f>MAX(Podsumowanie!E$2+SUM(V$5:V252)-SUM(S$5:S253)+SUM(R$5:R253),0)</f>
        <v>214855.12257654985</v>
      </c>
      <c r="P253" s="39">
        <f t="shared" si="401"/>
        <v>360</v>
      </c>
      <c r="Q253" s="40" t="str">
        <f>IF(AND(K253&gt;0,K253&lt;=Podsumowanie!E$9),"tak","nie")</f>
        <v>nie</v>
      </c>
      <c r="R253" s="41"/>
      <c r="S253" s="42"/>
      <c r="T253" s="88">
        <f aca="true" t="shared" si="727" ref="T253:T255">IF(AB253=1,-O253*M253/12,0)</f>
        <v>-76.98975225659703</v>
      </c>
      <c r="U253" s="89">
        <f>IF(Q253="tak",T253,IF(P253-SUM(AB$5:AB253)+1&gt;0,IF(Podsumowanie!E$7&lt;B253,IF(SUM(AB$5:AB253)-Podsumowanie!E$9+1&gt;0,PMT(M253/12,P253+1-SUM(AB$5:AB253),O253),T253),0),0))</f>
        <v>-1239.429284821817</v>
      </c>
      <c r="V253" s="89">
        <f aca="true" t="shared" si="728" ref="V253:V255">U253-T253</f>
        <v>-1162.43953256522</v>
      </c>
      <c r="W253" s="90" t="str">
        <f>IF(R253&gt;0,R253/(C253*(1-Podsumowanie!E$11))," ")</f>
        <v xml:space="preserve"> </v>
      </c>
      <c r="X253" s="90">
        <f t="shared" si="266"/>
        <v>0</v>
      </c>
      <c r="Y253" s="91">
        <f aca="true" t="shared" si="729" ref="Y253:Y255">IF(AB253=1,-N253*M253/12,0)</f>
        <v>-34.906710623207175</v>
      </c>
      <c r="Z253" s="90">
        <f>IF(P253-SUM(AB$5:AB253)+1&gt;0,IF(Podsumowanie!E$7&lt;B253,IF(SUM(AB$5:AB253)-Podsumowanie!E$9+1&gt;0,PMT(M253/12,P253+1-SUM(AB$5:AB253),N253),Y253),0),0)</f>
        <v>-561.9501052426959</v>
      </c>
      <c r="AA253" s="90">
        <f aca="true" t="shared" si="730" ref="AA253:AA255">Z253-Y253</f>
        <v>-527.0433946194887</v>
      </c>
      <c r="AB253" s="8">
        <f>IF(AND(Podsumowanie!E$7&lt;B253,SUM(AB$5:AB252)&lt;P252),1," ")</f>
        <v>1</v>
      </c>
      <c r="AD253" s="51">
        <f>IF(OR(B253&lt;Podsumowanie!E$12,Podsumowanie!E$12=""),-F253+S253,0)</f>
        <v>0</v>
      </c>
      <c r="AE253" s="51">
        <f t="shared" si="267"/>
        <v>561.9501052426959</v>
      </c>
      <c r="AG253" s="10">
        <f>Podsumowanie!E$4-SUM(AI$5:AI252)+SUM(W$42:W253)-SUM(X$42:X253)</f>
        <v>89921.14813555249</v>
      </c>
      <c r="AH253" s="10">
        <f aca="true" t="shared" si="731" ref="AH253:AH255">IF(AB253=1,ROUND(AG253*M253/12,2),0)</f>
        <v>32.22</v>
      </c>
      <c r="AI253" s="10">
        <f aca="true" t="shared" si="732" ref="AI253:AI255">IF(Q253="tak",0,IF(AB253=1,ROUND(AG253/(P253-K253+1),2),0))</f>
        <v>505.17</v>
      </c>
      <c r="AJ253" s="10">
        <f aca="true" t="shared" si="733" ref="AJ253:AJ255">AI253+AH253</f>
        <v>537.39</v>
      </c>
      <c r="AK253" s="10">
        <f aca="true" t="shared" si="734" ref="AK253:AK255">ROUND(AJ253*D253,2)</f>
        <v>2719.79</v>
      </c>
      <c r="AL253" s="10">
        <f>Podsumowanie!E$2-SUM(AN$5:AN252)+SUM(R$42:R253)-SUM(S$42:S253)</f>
        <v>198328.48999999973</v>
      </c>
      <c r="AM253" s="10">
        <f aca="true" t="shared" si="735" ref="AM253:AM255">IF(AB253=1,ROUND(AL253*M253/12,2),0)</f>
        <v>71.07</v>
      </c>
      <c r="AN253" s="10">
        <f aca="true" t="shared" si="736" ref="AN253:AN255">IF(Q253="tak",0,IF(AB253=1,ROUND(AL253/(P253-K253+1),2),0))</f>
        <v>1114.21</v>
      </c>
      <c r="AO253" s="10">
        <f aca="true" t="shared" si="737" ref="AO253:AO255">AN253+AM253</f>
        <v>1185.28</v>
      </c>
      <c r="AP253" s="10">
        <f aca="true" t="shared" si="738" ref="AP253:AP255">AK253-AO253</f>
        <v>1534.51</v>
      </c>
      <c r="AR253" s="43">
        <f aca="true" t="shared" si="739" ref="AR253:AR255">B253</f>
        <v>44805</v>
      </c>
      <c r="AS253" s="11">
        <f>AS$5+SUM(AV$5:AV252)-SUM(X$5:X253)+SUM(W$5:W253)</f>
        <v>94491.65387305382</v>
      </c>
      <c r="AT253" s="10">
        <f aca="true" t="shared" si="740" ref="AT253:AT255">IF(AB253=1,-AS253*M253/12,0)</f>
        <v>-33.85950930451095</v>
      </c>
      <c r="AU253" s="10">
        <f>IF(AB253=1,IF(Q253="tak",AT253,PMT(M253/12,P253+1-SUM(AB$5:AB253),AS253)),0)</f>
        <v>-545.0916020854148</v>
      </c>
      <c r="AV253" s="10">
        <f aca="true" t="shared" si="741" ref="AV253:AV255">AU253-AT253</f>
        <v>-511.2320927809039</v>
      </c>
      <c r="AW253" s="10">
        <f aca="true" t="shared" si="742" ref="AW253:AW255">AU253*C253</f>
        <v>-2678.416605167103</v>
      </c>
      <c r="AY253" s="11">
        <f>AY$5+SUM(BA$5:BA252)+SUM(W$5:W252)-SUM(X$5:X252)</f>
        <v>87223.34719148562</v>
      </c>
      <c r="AZ253" s="11">
        <f aca="true" t="shared" si="743" ref="AZ253:AZ255">IF(AB253=1,-AS253*M253/12,0)</f>
        <v>-33.85950930451095</v>
      </c>
      <c r="BA253" s="11">
        <f aca="true" t="shared" si="744" ref="BA253:BA255">IF(AB253=1,IF(Q253="tak",0,ROUND(-AY253/(P253-K253+1),2)),0)</f>
        <v>-490.02</v>
      </c>
      <c r="BB253" s="11">
        <f aca="true" t="shared" si="745" ref="BB253:BB255">BA253+AZ253</f>
        <v>-523.879509304511</v>
      </c>
      <c r="BC253" s="11">
        <f aca="true" t="shared" si="746" ref="BC253:BC255">BB253*C253</f>
        <v>-2574.1867448695757</v>
      </c>
      <c r="BE253" s="172">
        <f aca="true" t="shared" si="747" ref="BE253:BE255">VLOOKUP(B253,Oproc,5)</f>
        <v>0.0705</v>
      </c>
      <c r="BF253" s="44">
        <f>BE253+Podsumowanie!$E$6</f>
        <v>0.08249999999999999</v>
      </c>
      <c r="BG253" s="11">
        <f>BG$5+SUM(BH$5:BH252)+SUM(R$5:R252)-SUM(S$5:S252)</f>
        <v>256433.50706049413</v>
      </c>
      <c r="BH253" s="10">
        <f aca="true" t="shared" si="748" ref="BH253:BH255">IF(BJ253&lt;0,BJ253-BI253,0)</f>
        <v>-731.8359395755572</v>
      </c>
      <c r="BI253" s="10">
        <f aca="true" t="shared" si="749" ref="BI253:BI255">IF(BJ253&lt;0,-BG253*BF253/12,0)</f>
        <v>-1762.980361040897</v>
      </c>
      <c r="BJ253" s="10">
        <f>IF(U253&lt;0,PMT(BF253/12,Podsumowanie!E$8-SUM(AB$5:AB253)+1,BG253),0)</f>
        <v>-2494.816300616454</v>
      </c>
      <c r="BL253" s="11">
        <f>BL$5+SUM(BN$5:BN252)+SUM(R$5:R252)-SUM(S$5:S252)</f>
        <v>198328.6908077999</v>
      </c>
      <c r="BM253" s="11">
        <f aca="true" t="shared" si="750" ref="BM253:BM255">IF(AB253=1,-BF253*BL253/12,0)</f>
        <v>-1363.5097493036242</v>
      </c>
      <c r="BN253" s="11">
        <f aca="true" t="shared" si="751" ref="BN253:BN255">IF(AB253=1,-BL253/(P253-K253+1),0)</f>
        <v>-1114.2061281337074</v>
      </c>
      <c r="BO253" s="11">
        <f aca="true" t="shared" si="752" ref="BO253:BO255">BN253+BM253</f>
        <v>-2477.7158774373315</v>
      </c>
      <c r="BQ253" s="44">
        <f aca="true" t="shared" si="753" ref="BQ253:BQ255">BE253+$BQ$4</f>
        <v>0.08259999999999999</v>
      </c>
      <c r="BR253" s="11">
        <f>BR$5+SUM(BS$5:BS252)+SUM(R$5:R252)-SUM(S$5:S252)+SUM(BV$5:BV252)</f>
        <v>239092.02793846338</v>
      </c>
      <c r="BS253" s="10">
        <f aca="true" t="shared" si="754" ref="BS253:BS255">IF(BU253&lt;0,BU253-BT253,0)</f>
        <v>-681.7418530376528</v>
      </c>
      <c r="BT253" s="10">
        <f aca="true" t="shared" si="755" ref="BT253:BT255">IF(BU253&lt;0,-BR253*BQ253/12,0)</f>
        <v>-1645.7501256430894</v>
      </c>
      <c r="BU253" s="10">
        <f>IF(U253&lt;0,PMT(BQ253/12,Podsumowanie!E$8-SUM(AB$5:AB253)+1,BR253),0)</f>
        <v>-2327.4919786807422</v>
      </c>
      <c r="BV253" s="10">
        <f aca="true" t="shared" si="756" ref="BV253:BV255">F253-BU253</f>
        <v>-516.5998804142241</v>
      </c>
      <c r="BX253" s="11">
        <f>BX$5+SUM(BZ$5:BZ252)+SUM(R$5:R252)-SUM(S$5:S252)+SUM(CB$5,CB252)</f>
        <v>198108.76036436463</v>
      </c>
      <c r="BY253" s="10">
        <f aca="true" t="shared" si="757" ref="BY253:BY255">IF(AB253=1,-BQ253*BX253/12,0)</f>
        <v>-1363.6486338413763</v>
      </c>
      <c r="BZ253" s="10">
        <f aca="true" t="shared" si="758" ref="BZ253:BZ255">IF(AB253=1,-BX253/(P253-K253+1),0)</f>
        <v>-1112.9705638447451</v>
      </c>
      <c r="CA253" s="10">
        <f aca="true" t="shared" si="759" ref="CA253:CA255">BZ253+BY253</f>
        <v>-2476.6191976861214</v>
      </c>
      <c r="CB253" s="10">
        <f aca="true" t="shared" si="760" ref="CB253:CB255">$F253-CA253</f>
        <v>-367.47266140884494</v>
      </c>
      <c r="CD253" s="10">
        <f>CD$5+SUM(CE$5:CE252)+SUM(R$5:R252)-SUM(S$5:S252)-SUM(CF$5:CF252)</f>
        <v>205414.08641275804</v>
      </c>
      <c r="CE253" s="10">
        <f aca="true" t="shared" si="761" ref="CE253:CE255">IF(AB253=1,BQ253*BX253/12,0)</f>
        <v>1363.6486338413763</v>
      </c>
      <c r="CF253" s="10">
        <f aca="true" t="shared" si="762" ref="CF253:CF255">-F253</f>
        <v>2844.0918590949664</v>
      </c>
      <c r="CG253" s="10">
        <f aca="true" t="shared" si="763" ref="CG253:CG255">CF253-CE253</f>
        <v>1480.44322525359</v>
      </c>
      <c r="CI253" s="44">
        <v>0.1065</v>
      </c>
      <c r="CJ253" s="10">
        <f t="shared" si="272"/>
        <v>-302.9</v>
      </c>
      <c r="CK253" s="4">
        <f t="shared" si="277"/>
        <v>0</v>
      </c>
      <c r="CM253" s="10">
        <f t="shared" si="278"/>
        <v>-399180.776860103</v>
      </c>
      <c r="CN253" s="4">
        <f t="shared" si="279"/>
        <v>-2345.1870640531047</v>
      </c>
    </row>
    <row r="254" spans="1:92" ht="15.75">
      <c r="A254" s="36"/>
      <c r="B254" s="37">
        <v>44835</v>
      </c>
      <c r="C254" s="77">
        <f t="shared" si="721"/>
        <v>4.917</v>
      </c>
      <c r="D254" s="79">
        <f>C254*(1+Podsumowanie!E$11)</f>
        <v>5.06451</v>
      </c>
      <c r="E254" s="34">
        <f t="shared" si="722"/>
        <v>-561.9501052426958</v>
      </c>
      <c r="F254" s="7">
        <f t="shared" si="723"/>
        <v>-2846.0019275026857</v>
      </c>
      <c r="G254" s="7">
        <f t="shared" si="724"/>
        <v>-1239.4292848218165</v>
      </c>
      <c r="H254" s="7">
        <f t="shared" si="725"/>
        <v>1606.5726426808692</v>
      </c>
      <c r="I254" s="32"/>
      <c r="K254" s="4">
        <f>IF(B254&lt;Podsumowanie!E$7,0,K253+1)</f>
        <v>184</v>
      </c>
      <c r="L254" s="100">
        <f t="shared" si="726"/>
        <v>-0.0077</v>
      </c>
      <c r="M254" s="38">
        <f>L254+Podsumowanie!E$6</f>
        <v>0.0043</v>
      </c>
      <c r="N254" s="101">
        <f>MAX(Podsumowanie!E$4+SUM(AA$5:AA253)-SUM(X$5:X254)+SUM(W$5:W254),0)</f>
        <v>96887.03276316798</v>
      </c>
      <c r="O254" s="102">
        <f>MAX(Podsumowanie!E$2+SUM(V$5:V253)-SUM(S$5:S254)+SUM(R$5:R254),0)</f>
        <v>213692.68304398464</v>
      </c>
      <c r="P254" s="39">
        <f t="shared" si="401"/>
        <v>360</v>
      </c>
      <c r="Q254" s="40" t="str">
        <f>IF(AND(K254&gt;0,K254&lt;=Podsumowanie!E$9),"tak","nie")</f>
        <v>nie</v>
      </c>
      <c r="R254" s="41"/>
      <c r="S254" s="42"/>
      <c r="T254" s="88">
        <f t="shared" si="727"/>
        <v>-76.5732114240945</v>
      </c>
      <c r="U254" s="89">
        <f>IF(Q254="tak",T254,IF(P254-SUM(AB$5:AB254)+1&gt;0,IF(Podsumowanie!E$7&lt;B254,IF(SUM(AB$5:AB254)-Podsumowanie!E$9+1&gt;0,PMT(M254/12,P254+1-SUM(AB$5:AB254),O254),T254),0),0))</f>
        <v>-1239.4292848218165</v>
      </c>
      <c r="V254" s="89">
        <f t="shared" si="728"/>
        <v>-1162.856073397722</v>
      </c>
      <c r="W254" s="90" t="str">
        <f>IF(R254&gt;0,R254/(C254*(1-Podsumowanie!E$11))," ")</f>
        <v xml:space="preserve"> </v>
      </c>
      <c r="X254" s="90">
        <f t="shared" si="266"/>
        <v>0</v>
      </c>
      <c r="Y254" s="91">
        <f t="shared" si="729"/>
        <v>-34.71785340680186</v>
      </c>
      <c r="Z254" s="90">
        <f>IF(P254-SUM(AB$5:AB254)+1&gt;0,IF(Podsumowanie!E$7&lt;B254,IF(SUM(AB$5:AB254)-Podsumowanie!E$9+1&gt;0,PMT(M254/12,P254+1-SUM(AB$5:AB254),N254),Y254),0),0)</f>
        <v>-561.9501052426958</v>
      </c>
      <c r="AA254" s="90">
        <f t="shared" si="730"/>
        <v>-527.232251835894</v>
      </c>
      <c r="AB254" s="8">
        <f>IF(AND(Podsumowanie!E$7&lt;B254,SUM(AB$5:AB253)&lt;P253),1," ")</f>
        <v>1</v>
      </c>
      <c r="AD254" s="51">
        <f>IF(OR(B254&lt;Podsumowanie!E$12,Podsumowanie!E$12=""),-F254+S254,0)</f>
        <v>0</v>
      </c>
      <c r="AE254" s="51">
        <f t="shared" si="267"/>
        <v>561.9501052426958</v>
      </c>
      <c r="AG254" s="10">
        <f>Podsumowanie!E$4-SUM(AI$5:AI253)+SUM(W$42:W254)-SUM(X$42:X254)</f>
        <v>89415.97813555249</v>
      </c>
      <c r="AH254" s="10">
        <f t="shared" si="731"/>
        <v>32.04</v>
      </c>
      <c r="AI254" s="10">
        <f t="shared" si="732"/>
        <v>505.18</v>
      </c>
      <c r="AJ254" s="10">
        <f t="shared" si="733"/>
        <v>537.22</v>
      </c>
      <c r="AK254" s="10">
        <f t="shared" si="734"/>
        <v>2720.76</v>
      </c>
      <c r="AL254" s="10">
        <f>Podsumowanie!E$2-SUM(AN$5:AN253)+SUM(R$42:R254)-SUM(S$42:S254)</f>
        <v>197214.27999999974</v>
      </c>
      <c r="AM254" s="10">
        <f t="shared" si="735"/>
        <v>70.67</v>
      </c>
      <c r="AN254" s="10">
        <f t="shared" si="736"/>
        <v>1114.2</v>
      </c>
      <c r="AO254" s="10">
        <f t="shared" si="737"/>
        <v>1184.8700000000001</v>
      </c>
      <c r="AP254" s="10">
        <f t="shared" si="738"/>
        <v>1535.89</v>
      </c>
      <c r="AR254" s="43">
        <f t="shared" si="739"/>
        <v>44835</v>
      </c>
      <c r="AS254" s="11">
        <f>AS$5+SUM(AV$5:AV253)-SUM(X$5:X254)+SUM(W$5:W254)</f>
        <v>93980.42178027291</v>
      </c>
      <c r="AT254" s="10">
        <f t="shared" si="740"/>
        <v>-33.676317804597794</v>
      </c>
      <c r="AU254" s="10">
        <f>IF(AB254=1,IF(Q254="tak",AT254,PMT(M254/12,P254+1-SUM(AB$5:AB254),AS254)),0)</f>
        <v>-545.0916020854148</v>
      </c>
      <c r="AV254" s="10">
        <f t="shared" si="741"/>
        <v>-511.41528428081705</v>
      </c>
      <c r="AW254" s="10">
        <f t="shared" si="742"/>
        <v>-2680.2154074539844</v>
      </c>
      <c r="AY254" s="11">
        <f>AY$5+SUM(BA$5:BA253)+SUM(W$5:W253)-SUM(X$5:X253)</f>
        <v>86733.32719148562</v>
      </c>
      <c r="AZ254" s="11">
        <f t="shared" si="743"/>
        <v>-33.676317804597794</v>
      </c>
      <c r="BA254" s="11">
        <f t="shared" si="744"/>
        <v>-490.02</v>
      </c>
      <c r="BB254" s="11">
        <f t="shared" si="745"/>
        <v>-523.6963178045978</v>
      </c>
      <c r="BC254" s="11">
        <f t="shared" si="746"/>
        <v>-2575.0147946452075</v>
      </c>
      <c r="BE254" s="172">
        <f t="shared" si="747"/>
        <v>0.0718</v>
      </c>
      <c r="BF254" s="44">
        <f>BE254+Podsumowanie!$E$6</f>
        <v>0.0838</v>
      </c>
      <c r="BG254" s="11">
        <f>BG$5+SUM(BH$5:BH253)+SUM(R$5:R253)-SUM(S$5:S253)</f>
        <v>255701.67112091856</v>
      </c>
      <c r="BH254" s="10">
        <f t="shared" si="748"/>
        <v>-728.4889763783867</v>
      </c>
      <c r="BI254" s="10">
        <f t="shared" si="749"/>
        <v>-1785.650003327748</v>
      </c>
      <c r="BJ254" s="10">
        <f>IF(U254&lt;0,PMT(BF254/12,Podsumowanie!E$8-SUM(AB$5:AB254)+1,BG254),0)</f>
        <v>-2514.1389797061347</v>
      </c>
      <c r="BL254" s="11">
        <f>BL$5+SUM(BN$5:BN253)+SUM(R$5:R253)-SUM(S$5:S253)</f>
        <v>197214.4846796662</v>
      </c>
      <c r="BM254" s="11">
        <f t="shared" si="750"/>
        <v>-1377.214484679669</v>
      </c>
      <c r="BN254" s="11">
        <f t="shared" si="751"/>
        <v>-1114.2061281337074</v>
      </c>
      <c r="BO254" s="11">
        <f t="shared" si="752"/>
        <v>-2491.4206128133765</v>
      </c>
      <c r="BQ254" s="44">
        <f t="shared" si="753"/>
        <v>0.0839</v>
      </c>
      <c r="BR254" s="11">
        <f>BR$5+SUM(BS$5:BS253)+SUM(R$5:R253)-SUM(S$5:S253)+SUM(BV$5:BV253)</f>
        <v>237893.6862050115</v>
      </c>
      <c r="BS254" s="10">
        <f t="shared" si="754"/>
        <v>-677.1577012754362</v>
      </c>
      <c r="BT254" s="10">
        <f t="shared" si="755"/>
        <v>-1663.273356050039</v>
      </c>
      <c r="BU254" s="10">
        <f>IF(U254&lt;0,PMT(BQ254/12,Podsumowanie!E$8-SUM(AB$5:AB254)+1,BR254),0)</f>
        <v>-2340.431057325475</v>
      </c>
      <c r="BV254" s="10">
        <f t="shared" si="756"/>
        <v>-505.5708701772105</v>
      </c>
      <c r="BX254" s="11">
        <f>BX$5+SUM(BZ$5:BZ253)+SUM(R$5:R253)-SUM(S$5:S253)+SUM(CB$5,CB253)</f>
        <v>196963.2520265188</v>
      </c>
      <c r="BY254" s="10">
        <f t="shared" si="757"/>
        <v>-1377.1014037520774</v>
      </c>
      <c r="BZ254" s="10">
        <f t="shared" si="758"/>
        <v>-1112.7867346131006</v>
      </c>
      <c r="CA254" s="10">
        <f t="shared" si="759"/>
        <v>-2489.888138365178</v>
      </c>
      <c r="CB254" s="10">
        <f t="shared" si="760"/>
        <v>-356.11378913750787</v>
      </c>
      <c r="CD254" s="10">
        <f>CD$5+SUM(CE$5:CE253)+SUM(R$5:R253)-SUM(S$5:S253)-SUM(CF$5:CF253)</f>
        <v>203933.64318750438</v>
      </c>
      <c r="CE254" s="10">
        <f t="shared" si="761"/>
        <v>1377.1014037520774</v>
      </c>
      <c r="CF254" s="10">
        <f t="shared" si="762"/>
        <v>2846.0019275026857</v>
      </c>
      <c r="CG254" s="10">
        <f t="shared" si="763"/>
        <v>1468.9005237506083</v>
      </c>
      <c r="CI254" s="44">
        <v>0.0891</v>
      </c>
      <c r="CJ254" s="10">
        <f t="shared" si="272"/>
        <v>-253.58</v>
      </c>
      <c r="CK254" s="4">
        <f t="shared" si="277"/>
        <v>0</v>
      </c>
      <c r="CM254" s="10">
        <f t="shared" si="278"/>
        <v>-402026.7787876057</v>
      </c>
      <c r="CN254" s="4">
        <f t="shared" si="279"/>
        <v>-2405.4602264125074</v>
      </c>
    </row>
    <row r="255" spans="1:92" ht="15.75">
      <c r="A255" s="36"/>
      <c r="B255" s="37">
        <v>44866</v>
      </c>
      <c r="C255" s="77">
        <f t="shared" si="721"/>
        <v>4.7704</v>
      </c>
      <c r="D255" s="79">
        <f>C255*(1+Podsumowanie!E$11)</f>
        <v>4.913512000000001</v>
      </c>
      <c r="E255" s="34">
        <f t="shared" si="722"/>
        <v>-561.9501052426958</v>
      </c>
      <c r="F255" s="7">
        <f t="shared" si="723"/>
        <v>-2761.148585511249</v>
      </c>
      <c r="G255" s="7">
        <f t="shared" si="724"/>
        <v>-1239.4292848218167</v>
      </c>
      <c r="H255" s="7">
        <f t="shared" si="725"/>
        <v>1521.7193006894324</v>
      </c>
      <c r="I255" s="32"/>
      <c r="K255" s="4">
        <f>IF(B255&lt;Podsumowanie!E$7,0,K254+1)</f>
        <v>185</v>
      </c>
      <c r="L255" s="100">
        <f t="shared" si="726"/>
        <v>-0.0077</v>
      </c>
      <c r="M255" s="38">
        <f>L255+Podsumowanie!E$6</f>
        <v>0.0043</v>
      </c>
      <c r="N255" s="101">
        <f>MAX(Podsumowanie!E$4+SUM(AA$5:AA254)-SUM(X$5:X255)+SUM(W$5:W255),0)</f>
        <v>96359.80051133208</v>
      </c>
      <c r="O255" s="102">
        <f>MAX(Podsumowanie!E$2+SUM(V$5:V254)-SUM(S$5:S255)+SUM(R$5:R255),0)</f>
        <v>212529.8269705869</v>
      </c>
      <c r="P255" s="39">
        <f t="shared" si="401"/>
        <v>360</v>
      </c>
      <c r="Q255" s="40" t="str">
        <f>IF(AND(K255&gt;0,K255&lt;=Podsumowanie!E$9),"tak","nie")</f>
        <v>nie</v>
      </c>
      <c r="R255" s="41"/>
      <c r="S255" s="42"/>
      <c r="T255" s="88">
        <f t="shared" si="727"/>
        <v>-76.15652133112697</v>
      </c>
      <c r="U255" s="89">
        <f>IF(Q255="tak",T255,IF(P255-SUM(AB$5:AB255)+1&gt;0,IF(Podsumowanie!E$7&lt;B255,IF(SUM(AB$5:AB255)-Podsumowanie!E$9+1&gt;0,PMT(M255/12,P255+1-SUM(AB$5:AB255),O255),T255),0),0))</f>
        <v>-1239.4292848218167</v>
      </c>
      <c r="V255" s="89">
        <f t="shared" si="728"/>
        <v>-1163.2727634906898</v>
      </c>
      <c r="W255" s="90" t="str">
        <f>IF(R255&gt;0,R255/(C255*(1-Podsumowanie!E$11))," ")</f>
        <v xml:space="preserve"> </v>
      </c>
      <c r="X255" s="90">
        <f t="shared" si="266"/>
        <v>0</v>
      </c>
      <c r="Y255" s="91">
        <f t="shared" si="729"/>
        <v>-34.52892851656066</v>
      </c>
      <c r="Z255" s="90">
        <f>IF(P255-SUM(AB$5:AB255)+1&gt;0,IF(Podsumowanie!E$7&lt;B255,IF(SUM(AB$5:AB255)-Podsumowanie!E$9+1&gt;0,PMT(M255/12,P255+1-SUM(AB$5:AB255),N255),Y255),0),0)</f>
        <v>-561.9501052426958</v>
      </c>
      <c r="AA255" s="90">
        <f t="shared" si="730"/>
        <v>-527.4211767261352</v>
      </c>
      <c r="AB255" s="8">
        <f>IF(AND(Podsumowanie!E$7&lt;B255,SUM(AB$5:AB254)&lt;P254),1," ")</f>
        <v>1</v>
      </c>
      <c r="AD255" s="51">
        <f>IF(OR(B255&lt;Podsumowanie!E$12,Podsumowanie!E$12=""),-F255+S255,0)</f>
        <v>0</v>
      </c>
      <c r="AE255" s="51">
        <f t="shared" si="267"/>
        <v>561.9501052426958</v>
      </c>
      <c r="AG255" s="10">
        <f>Podsumowanie!E$4-SUM(AI$5:AI254)+SUM(W$42:W255)-SUM(X$42:X255)</f>
        <v>88910.7981355525</v>
      </c>
      <c r="AH255" s="10">
        <f t="shared" si="731"/>
        <v>31.86</v>
      </c>
      <c r="AI255" s="10">
        <f t="shared" si="732"/>
        <v>505.17</v>
      </c>
      <c r="AJ255" s="10">
        <f t="shared" si="733"/>
        <v>537.03</v>
      </c>
      <c r="AK255" s="10">
        <f t="shared" si="734"/>
        <v>2638.7</v>
      </c>
      <c r="AL255" s="10">
        <f>Podsumowanie!E$2-SUM(AN$5:AN254)+SUM(R$42:R255)-SUM(S$42:S255)</f>
        <v>196100.07999999973</v>
      </c>
      <c r="AM255" s="10">
        <f t="shared" si="735"/>
        <v>70.27</v>
      </c>
      <c r="AN255" s="10">
        <f t="shared" si="736"/>
        <v>1114.21</v>
      </c>
      <c r="AO255" s="10">
        <f t="shared" si="737"/>
        <v>1184.48</v>
      </c>
      <c r="AP255" s="10">
        <f t="shared" si="738"/>
        <v>1454.2199999999998</v>
      </c>
      <c r="AR255" s="43">
        <f t="shared" si="739"/>
        <v>44866</v>
      </c>
      <c r="AS255" s="11">
        <f>AS$5+SUM(AV$5:AV254)-SUM(X$5:X255)+SUM(W$5:W255)</f>
        <v>93469.0064959921</v>
      </c>
      <c r="AT255" s="10">
        <f t="shared" si="740"/>
        <v>-33.493060661063836</v>
      </c>
      <c r="AU255" s="10">
        <f>IF(AB255=1,IF(Q255="tak",AT255,PMT(M255/12,P255+1-SUM(AB$5:AB255),AS255)),0)</f>
        <v>-545.0916020854148</v>
      </c>
      <c r="AV255" s="10">
        <f t="shared" si="741"/>
        <v>-511.59854142435097</v>
      </c>
      <c r="AW255" s="10">
        <f t="shared" si="742"/>
        <v>-2600.304978588263</v>
      </c>
      <c r="AY255" s="11">
        <f>AY$5+SUM(BA$5:BA254)+SUM(W$5:W254)-SUM(X$5:X254)</f>
        <v>86243.30719148561</v>
      </c>
      <c r="AZ255" s="11">
        <f t="shared" si="743"/>
        <v>-33.493060661063836</v>
      </c>
      <c r="BA255" s="11">
        <f t="shared" si="744"/>
        <v>-490.02</v>
      </c>
      <c r="BB255" s="11">
        <f t="shared" si="745"/>
        <v>-523.5130606610638</v>
      </c>
      <c r="BC255" s="11">
        <f t="shared" si="746"/>
        <v>-2497.366704577539</v>
      </c>
      <c r="BE255" s="172">
        <f t="shared" si="747"/>
        <v>0.0718</v>
      </c>
      <c r="BF255" s="44">
        <f>BE255+Podsumowanie!$E$6</f>
        <v>0.0838</v>
      </c>
      <c r="BG255" s="11">
        <f>BG$5+SUM(BH$5:BH254)+SUM(R$5:R254)-SUM(S$5:S254)</f>
        <v>254973.1821445402</v>
      </c>
      <c r="BH255" s="10">
        <f t="shared" si="748"/>
        <v>-733.5762577300957</v>
      </c>
      <c r="BI255" s="10">
        <f t="shared" si="749"/>
        <v>-1780.562721976039</v>
      </c>
      <c r="BJ255" s="10">
        <f>IF(U255&lt;0,PMT(BF255/12,Podsumowanie!E$8-SUM(AB$5:AB255)+1,BG255),0)</f>
        <v>-2514.1389797061347</v>
      </c>
      <c r="BL255" s="11">
        <f>BL$5+SUM(BN$5:BN254)+SUM(R$5:R254)-SUM(S$5:S254)</f>
        <v>196100.2785515325</v>
      </c>
      <c r="BM255" s="11">
        <f t="shared" si="750"/>
        <v>-1369.4336118848687</v>
      </c>
      <c r="BN255" s="11">
        <f t="shared" si="751"/>
        <v>-1114.2061281337074</v>
      </c>
      <c r="BO255" s="11">
        <f t="shared" si="752"/>
        <v>-2483.639740018576</v>
      </c>
      <c r="BQ255" s="44">
        <f t="shared" si="753"/>
        <v>0.0839</v>
      </c>
      <c r="BR255" s="11">
        <f>BR$5+SUM(BS$5:BS254)+SUM(R$5:R254)-SUM(S$5:S254)+SUM(BV$5:BV254)</f>
        <v>236710.95763355886</v>
      </c>
      <c r="BS255" s="10">
        <f t="shared" si="754"/>
        <v>-680.4388704957853</v>
      </c>
      <c r="BT255" s="10">
        <f t="shared" si="755"/>
        <v>-1655.0041121212992</v>
      </c>
      <c r="BU255" s="10">
        <f>IF(U255&lt;0,PMT(BQ255/12,Podsumowanie!E$8-SUM(AB$5:AB255)+1,BR255),0)</f>
        <v>-2335.4429826170845</v>
      </c>
      <c r="BV255" s="10">
        <f t="shared" si="756"/>
        <v>-425.7056028941647</v>
      </c>
      <c r="BX255" s="11">
        <f>BX$5+SUM(BZ$5:BZ254)+SUM(R$5:R254)-SUM(S$5:S254)+SUM(CB$5,CB254)</f>
        <v>195861.82416417706</v>
      </c>
      <c r="BY255" s="10">
        <f t="shared" si="757"/>
        <v>-1369.4005872812047</v>
      </c>
      <c r="BZ255" s="10">
        <f t="shared" si="758"/>
        <v>-1112.851273660097</v>
      </c>
      <c r="CA255" s="10">
        <f t="shared" si="759"/>
        <v>-2482.251860941302</v>
      </c>
      <c r="CB255" s="10">
        <f t="shared" si="760"/>
        <v>-278.8967245699473</v>
      </c>
      <c r="CD255" s="10">
        <f>CD$5+SUM(CE$5:CE254)+SUM(R$5:R254)-SUM(S$5:S254)-SUM(CF$5:CF254)</f>
        <v>202464.7426637538</v>
      </c>
      <c r="CE255" s="10">
        <f t="shared" si="761"/>
        <v>1369.4005872812047</v>
      </c>
      <c r="CF255" s="10">
        <f t="shared" si="762"/>
        <v>2761.148585511249</v>
      </c>
      <c r="CG255" s="10">
        <f t="shared" si="763"/>
        <v>1391.7479982300445</v>
      </c>
      <c r="CI255" s="44">
        <v>0.0698</v>
      </c>
      <c r="CJ255" s="10">
        <f t="shared" si="272"/>
        <v>-192.73</v>
      </c>
      <c r="CK255" s="4">
        <f t="shared" si="277"/>
        <v>0</v>
      </c>
      <c r="CM255" s="10">
        <f t="shared" si="278"/>
        <v>-404787.92737311695</v>
      </c>
      <c r="CN255" s="4">
        <f t="shared" si="279"/>
        <v>-2421.981098782483</v>
      </c>
    </row>
    <row r="256" spans="1:92" ht="15.75">
      <c r="A256" s="36"/>
      <c r="B256" s="37">
        <v>44896</v>
      </c>
      <c r="C256" s="77">
        <f aca="true" t="shared" si="764" ref="C256">VLOOKUP(B256,Kursy,C$2)</f>
        <v>4.7441</v>
      </c>
      <c r="D256" s="79">
        <f>C256*(1+Podsumowanie!E$11)</f>
        <v>4.886423000000001</v>
      </c>
      <c r="E256" s="34">
        <f aca="true" t="shared" si="765" ref="E256">Z256</f>
        <v>-606.0608824072741</v>
      </c>
      <c r="F256" s="7">
        <f aca="true" t="shared" si="766" ref="F256">E256*D256</f>
        <v>-2961.4698351951997</v>
      </c>
      <c r="G256" s="7">
        <f aca="true" t="shared" si="767" ref="G256">U256</f>
        <v>-1336.7193973851302</v>
      </c>
      <c r="H256" s="7">
        <f aca="true" t="shared" si="768" ref="H256">G256-F256</f>
        <v>1624.7504378100696</v>
      </c>
      <c r="I256" s="32"/>
      <c r="K256" s="4">
        <f>IF(B256&lt;Podsumowanie!E$7,0,K255+1)</f>
        <v>186</v>
      </c>
      <c r="L256" s="100">
        <f aca="true" t="shared" si="769" ref="L256">VLOOKUP(B256,Oproc,C$2)</f>
        <v>0.002798</v>
      </c>
      <c r="M256" s="38">
        <f>L256+Podsumowanie!E$6</f>
        <v>0.014798</v>
      </c>
      <c r="N256" s="101">
        <f>MAX(Podsumowanie!E$4+SUM(AA$5:AA255)-SUM(X$5:X256)+SUM(W$5:W256),0)</f>
        <v>95832.37933460595</v>
      </c>
      <c r="O256" s="102">
        <f>MAX(Podsumowanie!E$2+SUM(V$5:V255)-SUM(S$5:S256)+SUM(R$5:R256),0)</f>
        <v>211366.55420709623</v>
      </c>
      <c r="P256" s="39">
        <f t="shared" si="401"/>
        <v>360</v>
      </c>
      <c r="Q256" s="40" t="str">
        <f>IF(AND(K256&gt;0,K256&lt;=Podsumowanie!E$9),"tak","nie")</f>
        <v>nie</v>
      </c>
      <c r="R256" s="41"/>
      <c r="S256" s="42"/>
      <c r="T256" s="88">
        <f aca="true" t="shared" si="770" ref="T256">IF(AB256=1,-O256*M256/12,0)</f>
        <v>-260.65018909638417</v>
      </c>
      <c r="U256" s="89">
        <f>IF(Q256="tak",T256,IF(P256-SUM(AB$5:AB256)+1&gt;0,IF(Podsumowanie!E$7&lt;B256,IF(SUM(AB$5:AB256)-Podsumowanie!E$9+1&gt;0,PMT(M256/12,P256+1-SUM(AB$5:AB256),O256),T256),0),0))</f>
        <v>-1336.7193973851302</v>
      </c>
      <c r="V256" s="89">
        <f aca="true" t="shared" si="771" ref="V256">U256-T256</f>
        <v>-1076.069208288746</v>
      </c>
      <c r="W256" s="90" t="str">
        <f>IF(R256&gt;0,R256/(C256*(1-Podsumowanie!E$11))," ")</f>
        <v xml:space="preserve"> </v>
      </c>
      <c r="X256" s="90">
        <f t="shared" si="266"/>
        <v>0</v>
      </c>
      <c r="Y256" s="91">
        <f aca="true" t="shared" si="772" ref="Y256">IF(AB256=1,-N256*M256/12,0)</f>
        <v>-118.17729578279157</v>
      </c>
      <c r="Z256" s="90">
        <f>IF(P256-SUM(AB$5:AB256)+1&gt;0,IF(Podsumowanie!E$7&lt;B256,IF(SUM(AB$5:AB256)-Podsumowanie!E$9+1&gt;0,PMT(M256/12,P256+1-SUM(AB$5:AB256),N256),Y256),0),0)</f>
        <v>-606.0608824072741</v>
      </c>
      <c r="AA256" s="90">
        <f aca="true" t="shared" si="773" ref="AA256">Z256-Y256</f>
        <v>-487.8835866244825</v>
      </c>
      <c r="AB256" s="8">
        <f>IF(AND(Podsumowanie!E$7&lt;B256,SUM(AB$5:AB255)&lt;P255),1," ")</f>
        <v>1</v>
      </c>
      <c r="AD256" s="51">
        <f>IF(OR(B256&lt;Podsumowanie!E$12,Podsumowanie!E$12=""),-F256+S256,0)</f>
        <v>0</v>
      </c>
      <c r="AE256" s="51">
        <f t="shared" si="267"/>
        <v>606.0608824072741</v>
      </c>
      <c r="AG256" s="10">
        <f>Podsumowanie!E$4-SUM(AI$5:AI255)+SUM(W$42:W256)-SUM(X$42:X256)</f>
        <v>88405.6281355525</v>
      </c>
      <c r="AH256" s="10">
        <f aca="true" t="shared" si="774" ref="AH256">IF(AB256=1,ROUND(AG256*M256/12,2),0)</f>
        <v>109.02</v>
      </c>
      <c r="AI256" s="10">
        <f aca="true" t="shared" si="775" ref="AI256">IF(Q256="tak",0,IF(AB256=1,ROUND(AG256/(P256-K256+1),2),0))</f>
        <v>505.18</v>
      </c>
      <c r="AJ256" s="10">
        <f aca="true" t="shared" si="776" ref="AJ256">AI256+AH256</f>
        <v>614.2</v>
      </c>
      <c r="AK256" s="10">
        <f aca="true" t="shared" si="777" ref="AK256">ROUND(AJ256*D256,2)</f>
        <v>3001.24</v>
      </c>
      <c r="AL256" s="10">
        <f>Podsumowanie!E$2-SUM(AN$5:AN255)+SUM(R$42:R256)-SUM(S$42:S256)</f>
        <v>194985.86999999973</v>
      </c>
      <c r="AM256" s="10">
        <f aca="true" t="shared" si="778" ref="AM256">IF(AB256=1,ROUND(AL256*M256/12,2),0)</f>
        <v>240.45</v>
      </c>
      <c r="AN256" s="10">
        <f aca="true" t="shared" si="779" ref="AN256">IF(Q256="tak",0,IF(AB256=1,ROUND(AL256/(P256-K256+1),2),0))</f>
        <v>1114.2</v>
      </c>
      <c r="AO256" s="10">
        <f aca="true" t="shared" si="780" ref="AO256">AN256+AM256</f>
        <v>1354.65</v>
      </c>
      <c r="AP256" s="10">
        <f aca="true" t="shared" si="781" ref="AP256">AK256-AO256</f>
        <v>1646.5899999999997</v>
      </c>
      <c r="AR256" s="43">
        <f aca="true" t="shared" si="782" ref="AR256">B256</f>
        <v>44896</v>
      </c>
      <c r="AS256" s="11">
        <f>AS$5+SUM(AV$5:AV255)-SUM(X$5:X256)+SUM(W$5:W256)</f>
        <v>92957.40795456775</v>
      </c>
      <c r="AT256" s="10">
        <f aca="true" t="shared" si="783" ref="AT256">IF(AB256=1,-AS256*M256/12,0)</f>
        <v>-114.63197690930781</v>
      </c>
      <c r="AU256" s="10">
        <f>IF(AB256=1,IF(Q256="tak",AT256,PMT(M256/12,P256+1-SUM(AB$5:AB256),AS256)),0)</f>
        <v>-587.8790559350557</v>
      </c>
      <c r="AV256" s="10">
        <f aca="true" t="shared" si="784" ref="AV256">AU256-AT256</f>
        <v>-473.2470790257479</v>
      </c>
      <c r="AW256" s="10">
        <f aca="true" t="shared" si="785" ref="AW256">AU256*C256</f>
        <v>-2788.957029261498</v>
      </c>
      <c r="AY256" s="11">
        <f>AY$5+SUM(BA$5:BA255)+SUM(W$5:W255)-SUM(X$5:X255)</f>
        <v>85753.28719148561</v>
      </c>
      <c r="AZ256" s="11">
        <f aca="true" t="shared" si="786" ref="AZ256">IF(AB256=1,-AS256*M256/12,0)</f>
        <v>-114.63197690930781</v>
      </c>
      <c r="BA256" s="11">
        <f aca="true" t="shared" si="787" ref="BA256">IF(AB256=1,IF(Q256="tak",0,ROUND(-AY256/(P256-K256+1),2)),0)</f>
        <v>-490.02</v>
      </c>
      <c r="BB256" s="11">
        <f aca="true" t="shared" si="788" ref="BB256">BA256+AZ256</f>
        <v>-604.6519769093078</v>
      </c>
      <c r="BC256" s="11">
        <f aca="true" t="shared" si="789" ref="BC256">BB256*C256</f>
        <v>-2868.5294436554473</v>
      </c>
      <c r="BE256" s="172">
        <f aca="true" t="shared" si="790" ref="BE256">VLOOKUP(B256,Oproc,5)</f>
        <v>0.0731</v>
      </c>
      <c r="BF256" s="44">
        <f>BE256+Podsumowanie!$E$6</f>
        <v>0.0851</v>
      </c>
      <c r="BG256" s="11">
        <f>BG$5+SUM(BH$5:BH255)+SUM(R$5:R255)-SUM(S$5:S255)</f>
        <v>254239.60588681008</v>
      </c>
      <c r="BH256" s="10">
        <f aca="true" t="shared" si="791" ref="BH256">IF(BJ256&lt;0,BJ256-BI256,0)</f>
        <v>-730.3895911582918</v>
      </c>
      <c r="BI256" s="10">
        <f aca="true" t="shared" si="792" ref="BI256">IF(BJ256&lt;0,-BG256*BF256/12,0)</f>
        <v>-1802.9825384139613</v>
      </c>
      <c r="BJ256" s="10">
        <f>IF(U256&lt;0,PMT(BF256/12,Podsumowanie!E$8-SUM(AB$5:AB256)+1,BG256),0)</f>
        <v>-2533.372129572253</v>
      </c>
      <c r="BL256" s="11">
        <f>BL$5+SUM(BN$5:BN255)+SUM(R$5:R255)-SUM(S$5:S255)</f>
        <v>194986.07242339881</v>
      </c>
      <c r="BM256" s="11">
        <f aca="true" t="shared" si="793" ref="BM256">IF(AB256=1,-BF256*BL256/12,0)</f>
        <v>-1382.77623026927</v>
      </c>
      <c r="BN256" s="11">
        <f aca="true" t="shared" si="794" ref="BN256">IF(AB256=1,-BL256/(P256-K256+1),0)</f>
        <v>-1114.2061281337076</v>
      </c>
      <c r="BO256" s="11">
        <f aca="true" t="shared" si="795" ref="BO256">BN256+BM256</f>
        <v>-2496.9823584029773</v>
      </c>
      <c r="BQ256" s="44">
        <f aca="true" t="shared" si="796" ref="BQ256">BE256+$BQ$4</f>
        <v>0.0852</v>
      </c>
      <c r="BR256" s="11">
        <f>BR$5+SUM(BS$5:BS255)+SUM(R$5:R255)-SUM(S$5:S255)+SUM(BV$5:BV255)</f>
        <v>235604.8131601689</v>
      </c>
      <c r="BS256" s="10">
        <f aca="true" t="shared" si="797" ref="BS256">IF(BU256&lt;0,BU256-BT256,0)</f>
        <v>-676.2653399037197</v>
      </c>
      <c r="BT256" s="10">
        <f aca="true" t="shared" si="798" ref="BT256">IF(BU256&lt;0,-BR256*BQ256/12,0)</f>
        <v>-1672.794173437199</v>
      </c>
      <c r="BU256" s="10">
        <f>IF(U256&lt;0,PMT(BQ256/12,Podsumowanie!E$8-SUM(AB$5:AB256)+1,BR256),0)</f>
        <v>-2349.059513340919</v>
      </c>
      <c r="BV256" s="10">
        <f aca="true" t="shared" si="799" ref="BV256">F256-BU256</f>
        <v>-612.4103218542809</v>
      </c>
      <c r="BX256" s="11">
        <f>BX$5+SUM(BZ$5:BZ255)+SUM(R$5:R255)-SUM(S$5:S255)+SUM(CB$5,CB255)</f>
        <v>194826.18995508453</v>
      </c>
      <c r="BY256" s="10">
        <f aca="true" t="shared" si="800" ref="BY256">IF(AB256=1,-BQ256*BX256/12,0)</f>
        <v>-1383.2659486811</v>
      </c>
      <c r="BZ256" s="10">
        <f aca="true" t="shared" si="801" ref="BZ256">IF(AB256=1,-BX256/(P256-K256+1),0)</f>
        <v>-1113.2925140290545</v>
      </c>
      <c r="CA256" s="10">
        <f aca="true" t="shared" si="802" ref="CA256">BZ256+BY256</f>
        <v>-2496.5584627101543</v>
      </c>
      <c r="CB256" s="10">
        <f aca="true" t="shared" si="803" ref="CB256">$F256-CA256</f>
        <v>-464.9113724850454</v>
      </c>
      <c r="CD256" s="10">
        <f>CD$5+SUM(CE$5:CE255)+SUM(R$5:R255)-SUM(S$5:S255)-SUM(CF$5:CF255)</f>
        <v>201072.99466552376</v>
      </c>
      <c r="CE256" s="10">
        <f aca="true" t="shared" si="804" ref="CE256">IF(AB256=1,BQ256*BX256/12,0)</f>
        <v>1383.2659486811</v>
      </c>
      <c r="CF256" s="10">
        <f aca="true" t="shared" si="805" ref="CF256">-F256</f>
        <v>2961.4698351951997</v>
      </c>
      <c r="CG256" s="10">
        <f aca="true" t="shared" si="806" ref="CG256">CF256-CE256</f>
        <v>1578.2038865140996</v>
      </c>
      <c r="CI256" s="44">
        <v>0.0624</v>
      </c>
      <c r="CJ256" s="10">
        <f t="shared" si="272"/>
        <v>-184.8</v>
      </c>
      <c r="CK256" s="4">
        <f t="shared" si="277"/>
        <v>0</v>
      </c>
      <c r="CM256" s="10">
        <f t="shared" si="278"/>
        <v>-407749.3972083122</v>
      </c>
      <c r="CN256" s="4">
        <f t="shared" si="279"/>
        <v>-2483.8734113273017</v>
      </c>
    </row>
    <row r="257" spans="1:92" ht="15.75">
      <c r="A257" s="36">
        <v>2023</v>
      </c>
      <c r="B257" s="37">
        <v>44927</v>
      </c>
      <c r="C257" s="77">
        <f aca="true" t="shared" si="807" ref="C257">VLOOKUP(B257,Kursy,C$2)</f>
        <v>4.717</v>
      </c>
      <c r="D257" s="79">
        <f>C257*(1+Podsumowanie!E$11)</f>
        <v>4.85851</v>
      </c>
      <c r="E257" s="34">
        <f aca="true" t="shared" si="808" ref="E257">Z257</f>
        <v>-624.3299053061056</v>
      </c>
      <c r="F257" s="7">
        <f aca="true" t="shared" si="809" ref="F257">E257*D257</f>
        <v>-3033.313088228767</v>
      </c>
      <c r="G257" s="7">
        <f aca="true" t="shared" si="810" ref="G257">U257</f>
        <v>-1377.0132985244725</v>
      </c>
      <c r="H257" s="7">
        <f aca="true" t="shared" si="811" ref="H257">G257-F257</f>
        <v>1656.2997897042944</v>
      </c>
      <c r="I257" s="32"/>
      <c r="K257" s="4">
        <f>IF(B257&lt;Podsumowanie!E$7,0,K256+1)</f>
        <v>187</v>
      </c>
      <c r="L257" s="100">
        <f aca="true" t="shared" si="812" ref="L257">VLOOKUP(B257,Oproc,C$2)</f>
        <v>0.007026</v>
      </c>
      <c r="M257" s="38">
        <f>L257+Podsumowanie!E$6</f>
        <v>0.019026</v>
      </c>
      <c r="N257" s="101">
        <f>MAX(Podsumowanie!E$4+SUM(AA$5:AA256)-SUM(X$5:X257)+SUM(W$5:W257),0)</f>
        <v>95344.49574798148</v>
      </c>
      <c r="O257" s="102">
        <f>MAX(Podsumowanie!E$2+SUM(V$5:V256)-SUM(S$5:S257)+SUM(R$5:R257),0)</f>
        <v>210290.4849988075</v>
      </c>
      <c r="P257" s="39">
        <f t="shared" si="401"/>
        <v>360</v>
      </c>
      <c r="Q257" s="40" t="str">
        <f>IF(AND(K257&gt;0,K257&lt;=Podsumowanie!E$9),"tak","nie")</f>
        <v>nie</v>
      </c>
      <c r="R257" s="41"/>
      <c r="S257" s="42"/>
      <c r="T257" s="88">
        <f aca="true" t="shared" si="813" ref="T257">IF(AB257=1,-O257*M257/12,0)</f>
        <v>-333.4155639656093</v>
      </c>
      <c r="U257" s="89">
        <f>IF(Q257="tak",T257,IF(P257-SUM(AB$5:AB257)+1&gt;0,IF(Podsumowanie!E$7&lt;B257,IF(SUM(AB$5:AB257)-Podsumowanie!E$9+1&gt;0,PMT(M257/12,P257+1-SUM(AB$5:AB257),O257),T257),0),0))</f>
        <v>-1377.0132985244725</v>
      </c>
      <c r="V257" s="89">
        <f aca="true" t="shared" si="814" ref="V257">U257-T257</f>
        <v>-1043.597734558863</v>
      </c>
      <c r="W257" s="90" t="str">
        <f>IF(R257&gt;0,R257/(C257*(1-Podsumowanie!E$11))," ")</f>
        <v xml:space="preserve"> </v>
      </c>
      <c r="X257" s="90">
        <f t="shared" si="266"/>
        <v>0</v>
      </c>
      <c r="Y257" s="91">
        <f aca="true" t="shared" si="815" ref="Y257">IF(AB257=1,-N257*M257/12,0)</f>
        <v>-151.16869800842463</v>
      </c>
      <c r="Z257" s="90">
        <f>IF(P257-SUM(AB$5:AB257)+1&gt;0,IF(Podsumowanie!E$7&lt;B257,IF(SUM(AB$5:AB257)-Podsumowanie!E$9+1&gt;0,PMT(M257/12,P257+1-SUM(AB$5:AB257),N257),Y257),0),0)</f>
        <v>-624.3299053061056</v>
      </c>
      <c r="AA257" s="90">
        <f aca="true" t="shared" si="816" ref="AA257">Z257-Y257</f>
        <v>-473.161207297681</v>
      </c>
      <c r="AB257" s="8">
        <f>IF(AND(Podsumowanie!E$7&lt;B257,SUM(AB$5:AB256)&lt;P256),1," ")</f>
        <v>1</v>
      </c>
      <c r="AD257" s="51">
        <f>IF(OR(B257&lt;Podsumowanie!E$12,Podsumowanie!E$12=""),-F257+S257,0)</f>
        <v>0</v>
      </c>
      <c r="AE257" s="51">
        <f t="shared" si="267"/>
        <v>624.3299053061056</v>
      </c>
      <c r="AG257" s="10">
        <f>Podsumowanie!E$4-SUM(AI$5:AI256)+SUM(W$42:W257)-SUM(X$42:X257)</f>
        <v>87900.4481355525</v>
      </c>
      <c r="AH257" s="10">
        <f aca="true" t="shared" si="817" ref="AH257">IF(AB257=1,ROUND(AG257*M257/12,2),0)</f>
        <v>139.37</v>
      </c>
      <c r="AI257" s="10">
        <f aca="true" t="shared" si="818" ref="AI257">IF(Q257="tak",0,IF(AB257=1,ROUND(AG257/(P257-K257+1),2),0))</f>
        <v>505.17</v>
      </c>
      <c r="AJ257" s="10">
        <f aca="true" t="shared" si="819" ref="AJ257">AI257+AH257</f>
        <v>644.54</v>
      </c>
      <c r="AK257" s="10">
        <f aca="true" t="shared" si="820" ref="AK257">ROUND(AJ257*D257,2)</f>
        <v>3131.5</v>
      </c>
      <c r="AL257" s="10">
        <f>Podsumowanie!E$2-SUM(AN$5:AN256)+SUM(R$42:R257)-SUM(S$42:S257)</f>
        <v>193871.66999999972</v>
      </c>
      <c r="AM257" s="10">
        <f aca="true" t="shared" si="821" ref="AM257">IF(AB257=1,ROUND(AL257*M257/12,2),0)</f>
        <v>307.38</v>
      </c>
      <c r="AN257" s="10">
        <f aca="true" t="shared" si="822" ref="AN257">IF(Q257="tak",0,IF(AB257=1,ROUND(AL257/(P257-K257+1),2),0))</f>
        <v>1114.21</v>
      </c>
      <c r="AO257" s="10">
        <f aca="true" t="shared" si="823" ref="AO257">AN257+AM257</f>
        <v>1421.5900000000001</v>
      </c>
      <c r="AP257" s="10">
        <f aca="true" t="shared" si="824" ref="AP257">AK257-AO257</f>
        <v>1709.9099999999999</v>
      </c>
      <c r="AR257" s="43">
        <f aca="true" t="shared" si="825" ref="AR257">B257</f>
        <v>44927</v>
      </c>
      <c r="AS257" s="11">
        <f>AS$5+SUM(AV$5:AV256)-SUM(X$5:X257)+SUM(W$5:W257)</f>
        <v>92484.160875542</v>
      </c>
      <c r="AT257" s="10">
        <f aca="true" t="shared" si="826" ref="AT257">IF(AB257=1,-AS257*M257/12,0)</f>
        <v>-146.63363706817185</v>
      </c>
      <c r="AU257" s="10">
        <f>IF(AB257=1,IF(Q257="tak",AT257,PMT(M257/12,P257+1-SUM(AB$5:AB257),AS257)),0)</f>
        <v>-605.6000081469223</v>
      </c>
      <c r="AV257" s="10">
        <f aca="true" t="shared" si="827" ref="AV257">AU257-AT257</f>
        <v>-458.9663710787504</v>
      </c>
      <c r="AW257" s="10">
        <f aca="true" t="shared" si="828" ref="AW257">AU257*C257</f>
        <v>-2856.615238429032</v>
      </c>
      <c r="AY257" s="11">
        <f>AY$5+SUM(BA$5:BA256)+SUM(W$5:W256)-SUM(X$5:X256)</f>
        <v>85263.2671914856</v>
      </c>
      <c r="AZ257" s="11">
        <f aca="true" t="shared" si="829" ref="AZ257">IF(AB257=1,-AS257*M257/12,0)</f>
        <v>-146.63363706817185</v>
      </c>
      <c r="BA257" s="11">
        <f aca="true" t="shared" si="830" ref="BA257">IF(AB257=1,IF(Q257="tak",0,ROUND(-AY257/(P257-K257+1),2)),0)</f>
        <v>-490.02</v>
      </c>
      <c r="BB257" s="11">
        <f aca="true" t="shared" si="831" ref="BB257">BA257+AZ257</f>
        <v>-636.6536370681719</v>
      </c>
      <c r="BC257" s="11">
        <f aca="true" t="shared" si="832" ref="BC257">BB257*C257</f>
        <v>-3003.0952060505665</v>
      </c>
      <c r="BE257" s="172">
        <f aca="true" t="shared" si="833" ref="BE257">VLOOKUP(B257,Oproc,5)</f>
        <v>0.0695</v>
      </c>
      <c r="BF257" s="44">
        <f>BE257+Podsumowanie!$E$6</f>
        <v>0.0815</v>
      </c>
      <c r="BG257" s="11">
        <f>BG$5+SUM(BH$5:BH256)+SUM(R$5:R256)-SUM(S$5:S256)</f>
        <v>253509.2162956518</v>
      </c>
      <c r="BH257" s="10">
        <f aca="true" t="shared" si="834" ref="BH257">IF(BJ257&lt;0,BJ257-BI257,0)</f>
        <v>-758.7711720170144</v>
      </c>
      <c r="BI257" s="10">
        <f aca="true" t="shared" si="835" ref="BI257">IF(BJ257&lt;0,-BG257*BF257/12,0)</f>
        <v>-1721.7500940079688</v>
      </c>
      <c r="BJ257" s="10">
        <f>IF(U257&lt;0,PMT(BF257/12,Podsumowanie!E$8-SUM(AB$5:AB257)+1,BG257),0)</f>
        <v>-2480.521266024983</v>
      </c>
      <c r="BL257" s="11">
        <f>BL$5+SUM(BN$5:BN256)+SUM(R$5:R256)-SUM(S$5:S256)</f>
        <v>193871.86629526512</v>
      </c>
      <c r="BM257" s="11">
        <f aca="true" t="shared" si="836" ref="BM257">IF(AB257=1,-BF257*BL257/12,0)</f>
        <v>-1316.713091922009</v>
      </c>
      <c r="BN257" s="11">
        <f aca="true" t="shared" si="837" ref="BN257">IF(AB257=1,-BL257/(P257-K257+1),0)</f>
        <v>-1114.2061281337076</v>
      </c>
      <c r="BO257" s="11">
        <f aca="true" t="shared" si="838" ref="BO257">BN257+BM257</f>
        <v>-2430.9192200557163</v>
      </c>
      <c r="BQ257" s="44">
        <f aca="true" t="shared" si="839" ref="BQ257">BE257+$BQ$4</f>
        <v>0.0816</v>
      </c>
      <c r="BR257" s="11">
        <f>BR$5+SUM(BS$5:BS256)+SUM(R$5:R256)-SUM(S$5:S256)+SUM(BV$5:BV256)</f>
        <v>234316.1374984109</v>
      </c>
      <c r="BS257" s="10">
        <f aca="true" t="shared" si="840" ref="BS257">IF(BU257&lt;0,BU257-BT257,0)</f>
        <v>-700.7220877879879</v>
      </c>
      <c r="BT257" s="10">
        <f aca="true" t="shared" si="841" ref="BT257">IF(BU257&lt;0,-BR257*BQ257/12,0)</f>
        <v>-1593.3497349891943</v>
      </c>
      <c r="BU257" s="10">
        <f>IF(U257&lt;0,PMT(BQ257/12,Podsumowanie!E$8-SUM(AB$5:AB257)+1,BR257),0)</f>
        <v>-2294.071822777182</v>
      </c>
      <c r="BV257" s="10">
        <f aca="true" t="shared" si="842" ref="BV257">F257-BU257</f>
        <v>-739.2412654515847</v>
      </c>
      <c r="BX257" s="11">
        <f>BX$5+SUM(BZ$5:BZ256)+SUM(R$5:R256)-SUM(S$5:S256)+SUM(CB$5,CB256)</f>
        <v>193526.8827931404</v>
      </c>
      <c r="BY257" s="10">
        <f aca="true" t="shared" si="843" ref="BY257">IF(AB257=1,-BQ257*BX257/12,0)</f>
        <v>-1315.9828029933549</v>
      </c>
      <c r="BZ257" s="10">
        <f aca="true" t="shared" si="844" ref="BZ257">IF(AB257=1,-BX257/(P257-K257+1),0)</f>
        <v>-1112.223464328393</v>
      </c>
      <c r="CA257" s="10">
        <f aca="true" t="shared" si="845" ref="CA257">BZ257+BY257</f>
        <v>-2428.206267321748</v>
      </c>
      <c r="CB257" s="10">
        <f aca="true" t="shared" si="846" ref="CB257">$F257-CA257</f>
        <v>-605.106820907019</v>
      </c>
      <c r="CD257" s="10">
        <f>CD$5+SUM(CE$5:CE256)+SUM(R$5:R256)-SUM(S$5:S256)-SUM(CF$5:CF256)</f>
        <v>199494.79077900958</v>
      </c>
      <c r="CE257" s="10">
        <f aca="true" t="shared" si="847" ref="CE257">IF(AB257=1,BQ257*BX257/12,0)</f>
        <v>1315.9828029933549</v>
      </c>
      <c r="CF257" s="10">
        <f aca="true" t="shared" si="848" ref="CF257">-F257</f>
        <v>3033.313088228767</v>
      </c>
      <c r="CG257" s="10">
        <f aca="true" t="shared" si="849" ref="CG257">CF257-CE257</f>
        <v>1717.330285235412</v>
      </c>
      <c r="CI257" s="44">
        <v>0.0613</v>
      </c>
      <c r="CJ257" s="10">
        <f t="shared" si="272"/>
        <v>-185.94</v>
      </c>
      <c r="CK257" s="4">
        <f t="shared" si="277"/>
        <v>0</v>
      </c>
      <c r="CM257" s="10">
        <f t="shared" si="278"/>
        <v>-410782.7102965409</v>
      </c>
      <c r="CN257" s="4">
        <f t="shared" si="279"/>
        <v>-2379.1165304674664</v>
      </c>
    </row>
    <row r="258" spans="1:92" ht="15.75">
      <c r="A258" s="36"/>
      <c r="B258" s="37">
        <v>44958</v>
      </c>
      <c r="C258" s="77">
        <f aca="true" t="shared" si="850" ref="C258">VLOOKUP(B258,Kursy,C$2)</f>
        <v>4.7867</v>
      </c>
      <c r="D258" s="79">
        <f>C258*(1+Podsumowanie!E$11)</f>
        <v>4.930301</v>
      </c>
      <c r="E258" s="34">
        <f aca="true" t="shared" si="851" ref="E258">Z258</f>
        <v>-631.2335001987955</v>
      </c>
      <c r="F258" s="7">
        <f aca="true" t="shared" si="852" ref="F258">E258*D258</f>
        <v>-3112.1711572636214</v>
      </c>
      <c r="G258" s="7">
        <f aca="true" t="shared" si="853" ref="G258">U258</f>
        <v>-1392.2397707694608</v>
      </c>
      <c r="H258" s="7">
        <f aca="true" t="shared" si="854" ref="H258">G258-F258</f>
        <v>1719.9313864941605</v>
      </c>
      <c r="I258" s="32"/>
      <c r="K258" s="4">
        <f>IF(B258&lt;Podsumowanie!E$7,0,K257+1)</f>
        <v>188</v>
      </c>
      <c r="L258" s="100">
        <f aca="true" t="shared" si="855" ref="L258">VLOOKUP(B258,Oproc,C$2)</f>
        <v>0.008612</v>
      </c>
      <c r="M258" s="38">
        <f>L258+Podsumowanie!E$6</f>
        <v>0.020612</v>
      </c>
      <c r="N258" s="101">
        <f>MAX(Podsumowanie!E$4+SUM(AA$5:AA257)-SUM(X$5:X258)+SUM(W$5:W258),0)</f>
        <v>94871.33454068379</v>
      </c>
      <c r="O258" s="102">
        <f>MAX(Podsumowanie!E$2+SUM(V$5:V257)-SUM(S$5:S258)+SUM(R$5:R258),0)</f>
        <v>209246.88726424862</v>
      </c>
      <c r="P258" s="39">
        <f t="shared" si="401"/>
        <v>360</v>
      </c>
      <c r="Q258" s="40" t="str">
        <f>IF(AND(K258&gt;0,K258&lt;=Podsumowanie!E$9),"tak","nie")</f>
        <v>nie</v>
      </c>
      <c r="R258" s="41"/>
      <c r="S258" s="42"/>
      <c r="T258" s="88">
        <f aca="true" t="shared" si="856" ref="T258">IF(AB258=1,-O258*M258/12,0)</f>
        <v>-359.4164033575577</v>
      </c>
      <c r="U258" s="89">
        <f>IF(Q258="tak",T258,IF(P258-SUM(AB$5:AB258)+1&gt;0,IF(Podsumowanie!E$7&lt;B258,IF(SUM(AB$5:AB258)-Podsumowanie!E$9+1&gt;0,PMT(M258/12,P258+1-SUM(AB$5:AB258),O258),T258),0),0))</f>
        <v>-1392.2397707694608</v>
      </c>
      <c r="V258" s="89">
        <f aca="true" t="shared" si="857" ref="V258">U258-T258</f>
        <v>-1032.823367411903</v>
      </c>
      <c r="W258" s="90" t="str">
        <f>IF(R258&gt;0,R258/(C258*(1-Podsumowanie!E$11))," ")</f>
        <v xml:space="preserve"> </v>
      </c>
      <c r="X258" s="90">
        <f t="shared" si="266"/>
        <v>0</v>
      </c>
      <c r="Y258" s="91">
        <f aca="true" t="shared" si="858" ref="Y258">IF(AB258=1,-N258*M258/12,0)</f>
        <v>-162.9573289627145</v>
      </c>
      <c r="Z258" s="90">
        <f>IF(P258-SUM(AB$5:AB258)+1&gt;0,IF(Podsumowanie!E$7&lt;B258,IF(SUM(AB$5:AB258)-Podsumowanie!E$9+1&gt;0,PMT(M258/12,P258+1-SUM(AB$5:AB258),N258),Y258),0),0)</f>
        <v>-631.2335001987955</v>
      </c>
      <c r="AA258" s="90">
        <f aca="true" t="shared" si="859" ref="AA258">Z258-Y258</f>
        <v>-468.2761712360809</v>
      </c>
      <c r="AB258" s="8">
        <f>IF(AND(Podsumowanie!E$7&lt;B258,SUM(AB$5:AB257)&lt;P257),1," ")</f>
        <v>1</v>
      </c>
      <c r="AD258" s="51">
        <f>IF(OR(B258&lt;Podsumowanie!E$12,Podsumowanie!E$12=""),-F258+S258,0)</f>
        <v>0</v>
      </c>
      <c r="AE258" s="51">
        <f t="shared" si="267"/>
        <v>631.2335001987955</v>
      </c>
      <c r="AG258" s="10">
        <f>Podsumowanie!E$4-SUM(AI$5:AI257)+SUM(W$42:W258)-SUM(X$42:X258)</f>
        <v>87395.27813555251</v>
      </c>
      <c r="AH258" s="10">
        <f aca="true" t="shared" si="860" ref="AH258">IF(AB258=1,ROUND(AG258*M258/12,2),0)</f>
        <v>150.12</v>
      </c>
      <c r="AI258" s="10">
        <f aca="true" t="shared" si="861" ref="AI258">IF(Q258="tak",0,IF(AB258=1,ROUND(AG258/(P258-K258+1),2),0))</f>
        <v>505.18</v>
      </c>
      <c r="AJ258" s="10">
        <f aca="true" t="shared" si="862" ref="AJ258">AI258+AH258</f>
        <v>655.3</v>
      </c>
      <c r="AK258" s="10">
        <f aca="true" t="shared" si="863" ref="AK258">ROUND(AJ258*D258,2)</f>
        <v>3230.83</v>
      </c>
      <c r="AL258" s="10">
        <f>Podsumowanie!E$2-SUM(AN$5:AN257)+SUM(R$42:R258)-SUM(S$42:S258)</f>
        <v>192757.45999999973</v>
      </c>
      <c r="AM258" s="10">
        <f aca="true" t="shared" si="864" ref="AM258">IF(AB258=1,ROUND(AL258*M258/12,2),0)</f>
        <v>331.09</v>
      </c>
      <c r="AN258" s="10">
        <f aca="true" t="shared" si="865" ref="AN258">IF(Q258="tak",0,IF(AB258=1,ROUND(AL258/(P258-K258+1),2),0))</f>
        <v>1114.2</v>
      </c>
      <c r="AO258" s="10">
        <f aca="true" t="shared" si="866" ref="AO258">AN258+AM258</f>
        <v>1445.29</v>
      </c>
      <c r="AP258" s="10">
        <f aca="true" t="shared" si="867" ref="AP258">AK258-AO258</f>
        <v>1785.54</v>
      </c>
      <c r="AR258" s="43">
        <f aca="true" t="shared" si="868" ref="AR258">B258</f>
        <v>44958</v>
      </c>
      <c r="AS258" s="11">
        <f>AS$5+SUM(AV$5:AV257)-SUM(X$5:X258)+SUM(W$5:W258)</f>
        <v>92025.19450446324</v>
      </c>
      <c r="AT258" s="10">
        <f aca="true" t="shared" si="869" ref="AT258">IF(AB258=1,-AS258*M258/12,0)</f>
        <v>-158.06860909383303</v>
      </c>
      <c r="AU258" s="10">
        <f>IF(AB258=1,IF(Q258="tak",AT258,PMT(M258/12,P258+1-SUM(AB$5:AB258),AS258)),0)</f>
        <v>-612.2964951928315</v>
      </c>
      <c r="AV258" s="10">
        <f aca="true" t="shared" si="870" ref="AV258">AU258-AT258</f>
        <v>-454.2278860989984</v>
      </c>
      <c r="AW258" s="10">
        <f aca="true" t="shared" si="871" ref="AW258">AU258*C258</f>
        <v>-2930.8796335395264</v>
      </c>
      <c r="AY258" s="11">
        <f>AY$5+SUM(BA$5:BA257)+SUM(W$5:W257)-SUM(X$5:X257)</f>
        <v>84773.2471914856</v>
      </c>
      <c r="AZ258" s="11">
        <f aca="true" t="shared" si="872" ref="AZ258">IF(AB258=1,-AS258*M258/12,0)</f>
        <v>-158.06860909383303</v>
      </c>
      <c r="BA258" s="11">
        <f aca="true" t="shared" si="873" ref="BA258">IF(AB258=1,IF(Q258="tak",0,ROUND(-AY258/(P258-K258+1),2)),0)</f>
        <v>-490.02</v>
      </c>
      <c r="BB258" s="11">
        <f aca="true" t="shared" si="874" ref="BB258">BA258+AZ258</f>
        <v>-648.088609093833</v>
      </c>
      <c r="BC258" s="11">
        <f aca="true" t="shared" si="875" ref="BC258">BB258*C258</f>
        <v>-3102.2057451494506</v>
      </c>
      <c r="BE258" s="172">
        <f aca="true" t="shared" si="876" ref="BE258">VLOOKUP(B258,Oproc,5)</f>
        <v>0.0694</v>
      </c>
      <c r="BF258" s="44">
        <f>BE258+Podsumowanie!$E$6</f>
        <v>0.0814</v>
      </c>
      <c r="BG258" s="11">
        <f>BG$5+SUM(BH$5:BH257)+SUM(R$5:R257)-SUM(S$5:S257)</f>
        <v>252750.4451236348</v>
      </c>
      <c r="BH258" s="10">
        <f aca="true" t="shared" si="877" ref="BH258">IF(BJ258&lt;0,BJ258-BI258,0)</f>
        <v>-764.5772221916993</v>
      </c>
      <c r="BI258" s="10">
        <f aca="true" t="shared" si="878" ref="BI258">IF(BJ258&lt;0,-BG258*BF258/12,0)</f>
        <v>-1714.4905194219893</v>
      </c>
      <c r="BJ258" s="10">
        <f>IF(U258&lt;0,PMT(BF258/12,Podsumowanie!E$8-SUM(AB$5:AB258)+1,BG258),0)</f>
        <v>-2479.0677416136887</v>
      </c>
      <c r="BL258" s="11">
        <f>BL$5+SUM(BN$5:BN257)+SUM(R$5:R257)-SUM(S$5:S257)</f>
        <v>192757.66016713143</v>
      </c>
      <c r="BM258" s="11">
        <f aca="true" t="shared" si="879" ref="BM258">IF(AB258=1,-BF258*BL258/12,0)</f>
        <v>-1307.5394614670415</v>
      </c>
      <c r="BN258" s="11">
        <f aca="true" t="shared" si="880" ref="BN258">IF(AB258=1,-BL258/(P258-K258+1),0)</f>
        <v>-1114.2061281337076</v>
      </c>
      <c r="BO258" s="11">
        <f aca="true" t="shared" si="881" ref="BO258">BN258+BM258</f>
        <v>-2421.745589600749</v>
      </c>
      <c r="BQ258" s="44">
        <f aca="true" t="shared" si="882" ref="BQ258">BE258+$BQ$4</f>
        <v>0.0815</v>
      </c>
      <c r="BR258" s="11">
        <f>BR$5+SUM(BS$5:BS257)+SUM(R$5:R257)-SUM(S$5:S257)+SUM(BV$5:BV257)</f>
        <v>232876.17414517136</v>
      </c>
      <c r="BS258" s="10">
        <f aca="true" t="shared" si="883" ref="BS258">IF(BU258&lt;0,BU258-BT258,0)</f>
        <v>-703.8555882813091</v>
      </c>
      <c r="BT258" s="10">
        <f aca="true" t="shared" si="884" ref="BT258">IF(BU258&lt;0,-BR258*BQ258/12,0)</f>
        <v>-1581.6173494026223</v>
      </c>
      <c r="BU258" s="10">
        <f>IF(U258&lt;0,PMT(BQ258/12,Podsumowanie!E$8-SUM(AB$5:AB258)+1,BR258),0)</f>
        <v>-2285.4729376839314</v>
      </c>
      <c r="BV258" s="10">
        <f aca="true" t="shared" si="885" ref="BV258">F258-BU258</f>
        <v>-826.69821957969</v>
      </c>
      <c r="BX258" s="11">
        <f>BX$5+SUM(BZ$5:BZ257)+SUM(R$5:R257)-SUM(S$5:S257)+SUM(CB$5,CB257)</f>
        <v>192274.46388039005</v>
      </c>
      <c r="BY258" s="10">
        <f aca="true" t="shared" si="886" ref="BY258">IF(AB258=1,-BQ258*BX258/12,0)</f>
        <v>-1305.864067187649</v>
      </c>
      <c r="BZ258" s="10">
        <f aca="true" t="shared" si="887" ref="BZ258">IF(AB258=1,-BX258/(P258-K258+1),0)</f>
        <v>-1111.4130860138152</v>
      </c>
      <c r="CA258" s="10">
        <f aca="true" t="shared" si="888" ref="CA258">BZ258+BY258</f>
        <v>-2417.277153201464</v>
      </c>
      <c r="CB258" s="10">
        <f aca="true" t="shared" si="889" ref="CB258">$F258-CA258</f>
        <v>-694.8940040621574</v>
      </c>
      <c r="CD258" s="10">
        <f>CD$5+SUM(CE$5:CE257)+SUM(R$5:R257)-SUM(S$5:S257)-SUM(CF$5:CF257)</f>
        <v>197777.4604937742</v>
      </c>
      <c r="CE258" s="10">
        <f aca="true" t="shared" si="890" ref="CE258">IF(AB258=1,BQ258*BX258/12,0)</f>
        <v>1305.864067187649</v>
      </c>
      <c r="CF258" s="10">
        <f aca="true" t="shared" si="891" ref="CF258">-F258</f>
        <v>3112.1711572636214</v>
      </c>
      <c r="CG258" s="10">
        <f aca="true" t="shared" si="892" ref="CG258">CF258-CE258</f>
        <v>1806.3070900759724</v>
      </c>
      <c r="CI258" s="44">
        <v>0.0354</v>
      </c>
      <c r="CJ258" s="10">
        <f aca="true" t="shared" si="893" ref="CJ258">ROUND(CI258*(F258-S258),2)</f>
        <v>-110.17</v>
      </c>
      <c r="CK258" s="4">
        <f aca="true" t="shared" si="894" ref="CK258">ROUND(R258*CI258,2)</f>
        <v>0</v>
      </c>
      <c r="CM258" s="10">
        <f t="shared" si="278"/>
        <v>-413894.88145380456</v>
      </c>
      <c r="CN258" s="4">
        <f t="shared" si="279"/>
        <v>-2393.6920644078364</v>
      </c>
    </row>
    <row r="259" spans="1:92" ht="15.75">
      <c r="A259" s="36"/>
      <c r="B259" s="37">
        <v>44986</v>
      </c>
      <c r="C259" s="77">
        <f aca="true" t="shared" si="895" ref="C259">VLOOKUP(B259,Kursy,C$2)</f>
        <v>4.7409</v>
      </c>
      <c r="D259" s="79">
        <f>C259*(1+Podsumowanie!E$11)</f>
        <v>4.883127</v>
      </c>
      <c r="E259" s="34">
        <f aca="true" t="shared" si="896" ref="E259">Z259</f>
        <v>-636.3726161563945</v>
      </c>
      <c r="F259" s="7">
        <f aca="true" t="shared" si="897" ref="F259">E259*D259</f>
        <v>-3107.4883040139266</v>
      </c>
      <c r="G259" s="7">
        <f aca="true" t="shared" si="898" ref="G259">U259</f>
        <v>-1403.5745329779177</v>
      </c>
      <c r="H259" s="7">
        <f aca="true" t="shared" si="899" ref="H259">G259-F259</f>
        <v>1703.913771036009</v>
      </c>
      <c r="I259" s="32"/>
      <c r="K259" s="4">
        <f>IF(B259&lt;Podsumowanie!E$7,0,K258+1)</f>
        <v>189</v>
      </c>
      <c r="L259" s="100">
        <f aca="true" t="shared" si="900" ref="L259">VLOOKUP(B259,Oproc,C$2)</f>
        <v>0.009792</v>
      </c>
      <c r="M259" s="38">
        <f>L259+Podsumowanie!E$6</f>
        <v>0.021792</v>
      </c>
      <c r="N259" s="101">
        <f>MAX(Podsumowanie!E$4+SUM(AA$5:AA258)-SUM(X$5:X259)+SUM(W$5:W259),0)</f>
        <v>94403.05836944771</v>
      </c>
      <c r="O259" s="102">
        <f>MAX(Podsumowanie!E$2+SUM(V$5:V258)-SUM(S$5:S259)+SUM(R$5:R259),0)</f>
        <v>208214.0638968367</v>
      </c>
      <c r="P259" s="39">
        <f t="shared" si="401"/>
        <v>360</v>
      </c>
      <c r="Q259" s="40" t="str">
        <f>IF(AND(K259&gt;0,K259&lt;=Podsumowanie!E$9),"tak","nie")</f>
        <v>nie</v>
      </c>
      <c r="R259" s="41"/>
      <c r="S259" s="42"/>
      <c r="T259" s="88">
        <f aca="true" t="shared" si="901" ref="T259">IF(AB259=1,-O259*M259/12,0)</f>
        <v>-378.1167400366555</v>
      </c>
      <c r="U259" s="89">
        <f>IF(Q259="tak",T259,IF(P259-SUM(AB$5:AB259)+1&gt;0,IF(Podsumowanie!E$7&lt;B259,IF(SUM(AB$5:AB259)-Podsumowanie!E$9+1&gt;0,PMT(M259/12,P259+1-SUM(AB$5:AB259),O259),T259),0),0))</f>
        <v>-1403.5745329779177</v>
      </c>
      <c r="V259" s="89">
        <f aca="true" t="shared" si="902" ref="V259">U259-T259</f>
        <v>-1025.4577929412621</v>
      </c>
      <c r="W259" s="90" t="str">
        <f>IF(R259&gt;0,R259/(C259*(1-Podsumowanie!E$11))," ")</f>
        <v xml:space="preserve"> </v>
      </c>
      <c r="X259" s="90">
        <f t="shared" si="266"/>
        <v>0</v>
      </c>
      <c r="Y259" s="91">
        <f aca="true" t="shared" si="903" ref="Y259">IF(AB259=1,-N259*M259/12,0)</f>
        <v>-171.43595399891703</v>
      </c>
      <c r="Z259" s="90">
        <f>IF(P259-SUM(AB$5:AB259)+1&gt;0,IF(Podsumowanie!E$7&lt;B259,IF(SUM(AB$5:AB259)-Podsumowanie!E$9+1&gt;0,PMT(M259/12,P259+1-SUM(AB$5:AB259),N259),Y259),0),0)</f>
        <v>-636.3726161563945</v>
      </c>
      <c r="AA259" s="90">
        <f aca="true" t="shared" si="904" ref="AA259">Z259-Y259</f>
        <v>-464.9366621574775</v>
      </c>
      <c r="AB259" s="8">
        <f>IF(AND(Podsumowanie!E$7&lt;B259,SUM(AB$5:AB258)&lt;P258),1," ")</f>
        <v>1</v>
      </c>
      <c r="AD259" s="51">
        <f>IF(OR(B259&lt;Podsumowanie!E$12,Podsumowanie!E$12=""),-F259+S259,0)</f>
        <v>0</v>
      </c>
      <c r="AE259" s="51">
        <f t="shared" si="267"/>
        <v>636.3726161563945</v>
      </c>
      <c r="AG259" s="10">
        <f>Podsumowanie!E$4-SUM(AI$5:AI258)+SUM(W$42:W259)-SUM(X$42:X259)</f>
        <v>86890.09813555251</v>
      </c>
      <c r="AH259" s="10">
        <f aca="true" t="shared" si="905" ref="AH259">IF(AB259=1,ROUND(AG259*M259/12,2),0)</f>
        <v>157.79</v>
      </c>
      <c r="AI259" s="10">
        <f aca="true" t="shared" si="906" ref="AI259">IF(Q259="tak",0,IF(AB259=1,ROUND(AG259/(P259-K259+1),2),0))</f>
        <v>505.17</v>
      </c>
      <c r="AJ259" s="10">
        <f aca="true" t="shared" si="907" ref="AJ259">AI259+AH259</f>
        <v>662.96</v>
      </c>
      <c r="AK259" s="10">
        <f aca="true" t="shared" si="908" ref="AK259">ROUND(AJ259*D259,2)</f>
        <v>3237.32</v>
      </c>
      <c r="AL259" s="10">
        <f>Podsumowanie!E$2-SUM(AN$5:AN258)+SUM(R$42:R259)-SUM(S$42:S259)</f>
        <v>191643.25999999972</v>
      </c>
      <c r="AM259" s="10">
        <f aca="true" t="shared" si="909" ref="AM259">IF(AB259=1,ROUND(AL259*M259/12,2),0)</f>
        <v>348.02</v>
      </c>
      <c r="AN259" s="10">
        <f aca="true" t="shared" si="910" ref="AN259">IF(Q259="tak",0,IF(AB259=1,ROUND(AL259/(P259-K259+1),2),0))</f>
        <v>1114.21</v>
      </c>
      <c r="AO259" s="10">
        <f aca="true" t="shared" si="911" ref="AO259">AN259+AM259</f>
        <v>1462.23</v>
      </c>
      <c r="AP259" s="10">
        <f aca="true" t="shared" si="912" ref="AP259">AK259-AO259</f>
        <v>1775.0900000000001</v>
      </c>
      <c r="AR259" s="43">
        <f aca="true" t="shared" si="913" ref="AR259">B259</f>
        <v>44986</v>
      </c>
      <c r="AS259" s="11">
        <f>AS$5+SUM(AV$5:AV258)-SUM(X$5:X259)+SUM(W$5:W259)</f>
        <v>91570.96661836424</v>
      </c>
      <c r="AT259" s="10">
        <f aca="true" t="shared" si="914" ref="AT259">IF(AB259=1,-AS259*M259/12,0)</f>
        <v>-166.29287537894945</v>
      </c>
      <c r="AU259" s="10">
        <f>IF(AB259=1,IF(Q259="tak",AT259,PMT(M259/12,P259+1-SUM(AB$5:AB259),AS259)),0)</f>
        <v>-617.2814376717025</v>
      </c>
      <c r="AV259" s="10">
        <f aca="true" t="shared" si="915" ref="AV259">AU259-AT259</f>
        <v>-450.98856229275304</v>
      </c>
      <c r="AW259" s="10">
        <f aca="true" t="shared" si="916" ref="AW259">AU259*C259</f>
        <v>-2926.4695678577746</v>
      </c>
      <c r="AY259" s="11">
        <f>AY$5+SUM(BA$5:BA258)+SUM(W$5:W258)-SUM(X$5:X258)</f>
        <v>84283.2271914856</v>
      </c>
      <c r="AZ259" s="11">
        <f aca="true" t="shared" si="917" ref="AZ259">IF(AB259=1,-AS259*M259/12,0)</f>
        <v>-166.29287537894945</v>
      </c>
      <c r="BA259" s="11">
        <f aca="true" t="shared" si="918" ref="BA259">IF(AB259=1,IF(Q259="tak",0,ROUND(-AY259/(P259-K259+1),2)),0)</f>
        <v>-490.02</v>
      </c>
      <c r="BB259" s="11">
        <f aca="true" t="shared" si="919" ref="BB259">BA259+AZ259</f>
        <v>-656.3128753789495</v>
      </c>
      <c r="BC259" s="11">
        <f aca="true" t="shared" si="920" ref="BC259">BB259*C259</f>
        <v>-3111.5137108840613</v>
      </c>
      <c r="BE259" s="172">
        <f aca="true" t="shared" si="921" ref="BE259">VLOOKUP(B259,Oproc,5)</f>
        <v>0.0694</v>
      </c>
      <c r="BF259" s="44">
        <f>BE259+Podsumowanie!$E$6</f>
        <v>0.0814</v>
      </c>
      <c r="BG259" s="11">
        <f>BG$5+SUM(BH$5:BH258)+SUM(R$5:R258)-SUM(S$5:S258)</f>
        <v>251985.8679014431</v>
      </c>
      <c r="BH259" s="10">
        <f aca="true" t="shared" si="922" ref="BH259">IF(BJ259&lt;0,BJ259-BI259,0)</f>
        <v>-769.763604348899</v>
      </c>
      <c r="BI259" s="10">
        <f aca="true" t="shared" si="923" ref="BI259">IF(BJ259&lt;0,-BG259*BF259/12,0)</f>
        <v>-1709.3041372647892</v>
      </c>
      <c r="BJ259" s="10">
        <f>IF(U259&lt;0,PMT(BF259/12,Podsumowanie!E$8-SUM(AB$5:AB259)+1,BG259),0)</f>
        <v>-2479.067741613688</v>
      </c>
      <c r="BL259" s="11">
        <f>BL$5+SUM(BN$5:BN258)+SUM(R$5:R258)-SUM(S$5:S258)</f>
        <v>191643.45403899773</v>
      </c>
      <c r="BM259" s="11">
        <f aca="true" t="shared" si="924" ref="BM259">IF(AB259=1,-BF259*BL259/12,0)</f>
        <v>-1299.9814298978679</v>
      </c>
      <c r="BN259" s="11">
        <f aca="true" t="shared" si="925" ref="BN259">IF(AB259=1,-BL259/(P259-K259+1),0)</f>
        <v>-1114.2061281337078</v>
      </c>
      <c r="BO259" s="11">
        <f aca="true" t="shared" si="926" ref="BO259">BN259+BM259</f>
        <v>-2414.1875580315755</v>
      </c>
      <c r="BQ259" s="44">
        <f aca="true" t="shared" si="927" ref="BQ259">BE259+$BQ$4</f>
        <v>0.0815</v>
      </c>
      <c r="BR259" s="11">
        <f>BR$5+SUM(BS$5:BS258)+SUM(R$5:R258)-SUM(S$5:S258)+SUM(BV$5:BV258)</f>
        <v>231345.62033731033</v>
      </c>
      <c r="BS259" s="10">
        <f aca="true" t="shared" si="928" ref="BS259">IF(BU259&lt;0,BU259-BT259,0)</f>
        <v>-706.1126939720523</v>
      </c>
      <c r="BT259" s="10">
        <f aca="true" t="shared" si="929" ref="BT259">IF(BU259&lt;0,-BR259*BQ259/12,0)</f>
        <v>-1571.2223381242327</v>
      </c>
      <c r="BU259" s="10">
        <f>IF(U259&lt;0,PMT(BQ259/12,Podsumowanie!E$8-SUM(AB$5:AB259)+1,BR259),0)</f>
        <v>-2277.335032096285</v>
      </c>
      <c r="BV259" s="10">
        <f aca="true" t="shared" si="930" ref="BV259">F259-BU259</f>
        <v>-830.1532719176416</v>
      </c>
      <c r="BX259" s="11">
        <f>BX$5+SUM(BZ$5:BZ258)+SUM(R$5:R258)-SUM(S$5:S258)+SUM(CB$5,CB258)</f>
        <v>191073.26361122107</v>
      </c>
      <c r="BY259" s="10">
        <f aca="true" t="shared" si="931" ref="BY259">IF(AB259=1,-BQ259*BX259/12,0)</f>
        <v>-1297.705915359543</v>
      </c>
      <c r="BZ259" s="10">
        <f aca="true" t="shared" si="932" ref="BZ259">IF(AB259=1,-BX259/(P259-K259+1),0)</f>
        <v>-1110.8910675070993</v>
      </c>
      <c r="CA259" s="10">
        <f aca="true" t="shared" si="933" ref="CA259">BZ259+BY259</f>
        <v>-2408.596982866642</v>
      </c>
      <c r="CB259" s="10">
        <f aca="true" t="shared" si="934" ref="CB259">$F259-CA259</f>
        <v>-698.8913211472845</v>
      </c>
      <c r="CD259" s="10">
        <f>CD$5+SUM(CE$5:CE258)+SUM(R$5:R258)-SUM(S$5:S258)-SUM(CF$5:CF258)</f>
        <v>195971.15340369823</v>
      </c>
      <c r="CE259" s="10">
        <f aca="true" t="shared" si="935" ref="CE259">IF(AB259=1,BQ259*BX259/12,0)</f>
        <v>1297.705915359543</v>
      </c>
      <c r="CF259" s="10">
        <f aca="true" t="shared" si="936" ref="CF259">-F259</f>
        <v>3107.4883040139266</v>
      </c>
      <c r="CG259" s="10">
        <f aca="true" t="shared" si="937" ref="CG259">CF259-CE259</f>
        <v>1809.7823886543836</v>
      </c>
      <c r="CI259" s="44">
        <v>0.0231</v>
      </c>
      <c r="CJ259" s="10">
        <f aca="true" t="shared" si="938" ref="CJ259">ROUND(CI259*(F259-S259),2)</f>
        <v>-71.78</v>
      </c>
      <c r="CK259" s="4">
        <f aca="true" t="shared" si="939" ref="CK259">ROUND(R259*CI259,2)</f>
        <v>0</v>
      </c>
      <c r="CM259" s="10">
        <f t="shared" si="278"/>
        <v>-417002.36975781847</v>
      </c>
      <c r="CN259" s="4">
        <f t="shared" si="279"/>
        <v>-2411.6637050993836</v>
      </c>
    </row>
    <row r="260" spans="1:92" ht="15.75">
      <c r="A260" s="36"/>
      <c r="B260" s="37">
        <v>45017</v>
      </c>
      <c r="C260" s="77">
        <f aca="true" t="shared" si="940" ref="C260">VLOOKUP(B260,Kursy,C$2)</f>
        <v>4.7102</v>
      </c>
      <c r="D260" s="79">
        <f>C260*(1+Podsumowanie!E$11)</f>
        <v>4.8515060000000005</v>
      </c>
      <c r="E260" s="34">
        <f aca="true" t="shared" si="941" ref="E260">Z260</f>
        <v>-636.3726161563947</v>
      </c>
      <c r="F260" s="7">
        <f aca="true" t="shared" si="942" ref="F260">E260*D260</f>
        <v>-3087.365565518446</v>
      </c>
      <c r="G260" s="7">
        <f aca="true" t="shared" si="943" ref="G260">U260</f>
        <v>-1403.5745329779181</v>
      </c>
      <c r="H260" s="7">
        <f aca="true" t="shared" si="944" ref="H260">G260-F260</f>
        <v>1683.791032540528</v>
      </c>
      <c r="I260" s="32"/>
      <c r="K260" s="4">
        <f>IF(B260&lt;Podsumowanie!E$7,0,K259+1)</f>
        <v>190</v>
      </c>
      <c r="L260" s="100">
        <f aca="true" t="shared" si="945" ref="L260">VLOOKUP(B260,Oproc,C$2)</f>
        <v>0.009792</v>
      </c>
      <c r="M260" s="38">
        <f>L260+Podsumowanie!E$6</f>
        <v>0.021792</v>
      </c>
      <c r="N260" s="101">
        <f>MAX(Podsumowanie!E$4+SUM(AA$5:AA259)-SUM(X$5:X260)+SUM(W$5:W260),0)</f>
        <v>93938.12170729024</v>
      </c>
      <c r="O260" s="102">
        <f>MAX(Podsumowanie!E$2+SUM(V$5:V259)-SUM(S$5:S260)+SUM(R$5:R260),0)</f>
        <v>207188.60610389546</v>
      </c>
      <c r="P260" s="39">
        <f t="shared" si="401"/>
        <v>360</v>
      </c>
      <c r="Q260" s="40" t="str">
        <f>IF(AND(K260&gt;0,K260&lt;=Podsumowanie!E$9),"tak","nie")</f>
        <v>nie</v>
      </c>
      <c r="R260" s="41"/>
      <c r="S260" s="42"/>
      <c r="T260" s="88">
        <f aca="true" t="shared" si="946" ref="T260">IF(AB260=1,-O260*M260/12,0)</f>
        <v>-376.25450868467414</v>
      </c>
      <c r="U260" s="89">
        <f>IF(Q260="tak",T260,IF(P260-SUM(AB$5:AB260)+1&gt;0,IF(Podsumowanie!E$7&lt;B260,IF(SUM(AB$5:AB260)-Podsumowanie!E$9+1&gt;0,PMT(M260/12,P260+1-SUM(AB$5:AB260),O260),T260),0),0))</f>
        <v>-1403.5745329779181</v>
      </c>
      <c r="V260" s="89">
        <f aca="true" t="shared" si="947" ref="V260">U260-T260</f>
        <v>-1027.320024293244</v>
      </c>
      <c r="W260" s="90" t="str">
        <f>IF(R260&gt;0,R260/(C260*(1-Podsumowanie!E$11))," ")</f>
        <v xml:space="preserve"> </v>
      </c>
      <c r="X260" s="90">
        <f t="shared" si="266"/>
        <v>0</v>
      </c>
      <c r="Y260" s="91">
        <f aca="true" t="shared" si="948" ref="Y260">IF(AB260=1,-N260*M260/12,0)</f>
        <v>-170.59162902043906</v>
      </c>
      <c r="Z260" s="90">
        <f>IF(P260-SUM(AB$5:AB260)+1&gt;0,IF(Podsumowanie!E$7&lt;B260,IF(SUM(AB$5:AB260)-Podsumowanie!E$9+1&gt;0,PMT(M260/12,P260+1-SUM(AB$5:AB260),N260),Y260),0),0)</f>
        <v>-636.3726161563947</v>
      </c>
      <c r="AA260" s="90">
        <f aca="true" t="shared" si="949" ref="AA260">Z260-Y260</f>
        <v>-465.78098713595557</v>
      </c>
      <c r="AB260" s="8">
        <f>IF(AND(Podsumowanie!E$7&lt;B260,SUM(AB$5:AB259)&lt;P259),1," ")</f>
        <v>1</v>
      </c>
      <c r="AD260" s="51">
        <f>IF(OR(B260&lt;Podsumowanie!E$12,Podsumowanie!E$12=""),-F260+S260,0)</f>
        <v>0</v>
      </c>
      <c r="AE260" s="51">
        <f t="shared" si="267"/>
        <v>636.3726161563947</v>
      </c>
      <c r="AG260" s="10">
        <f>Podsumowanie!E$4-SUM(AI$5:AI259)+SUM(W$42:W260)-SUM(X$42:X260)</f>
        <v>86384.92813555252</v>
      </c>
      <c r="AH260" s="10">
        <f aca="true" t="shared" si="950" ref="AH260">IF(AB260=1,ROUND(AG260*M260/12,2),0)</f>
        <v>156.88</v>
      </c>
      <c r="AI260" s="10">
        <f aca="true" t="shared" si="951" ref="AI260">IF(Q260="tak",0,IF(AB260=1,ROUND(AG260/(P260-K260+1),2),0))</f>
        <v>505.18</v>
      </c>
      <c r="AJ260" s="10">
        <f aca="true" t="shared" si="952" ref="AJ260">AI260+AH260</f>
        <v>662.06</v>
      </c>
      <c r="AK260" s="10">
        <f aca="true" t="shared" si="953" ref="AK260">ROUND(AJ260*D260,2)</f>
        <v>3211.99</v>
      </c>
      <c r="AL260" s="10">
        <f>Podsumowanie!E$2-SUM(AN$5:AN259)+SUM(R$42:R260)-SUM(S$42:S260)</f>
        <v>190529.04999999973</v>
      </c>
      <c r="AM260" s="10">
        <f aca="true" t="shared" si="954" ref="AM260">IF(AB260=1,ROUND(AL260*M260/12,2),0)</f>
        <v>346</v>
      </c>
      <c r="AN260" s="10">
        <f aca="true" t="shared" si="955" ref="AN260">IF(Q260="tak",0,IF(AB260=1,ROUND(AL260/(P260-K260+1),2),0))</f>
        <v>1114.2</v>
      </c>
      <c r="AO260" s="10">
        <f aca="true" t="shared" si="956" ref="AO260">AN260+AM260</f>
        <v>1460.2</v>
      </c>
      <c r="AP260" s="10">
        <f aca="true" t="shared" si="957" ref="AP260">AK260-AO260</f>
        <v>1751.7899999999997</v>
      </c>
      <c r="AR260" s="43">
        <f aca="true" t="shared" si="958" ref="AR260">B260</f>
        <v>45017</v>
      </c>
      <c r="AS260" s="11">
        <f>AS$5+SUM(AV$5:AV259)-SUM(X$5:X260)+SUM(W$5:W260)</f>
        <v>91119.97805607149</v>
      </c>
      <c r="AT260" s="10">
        <f aca="true" t="shared" si="959" ref="AT260">IF(AB260=1,-AS260*M260/12,0)</f>
        <v>-165.47388014982582</v>
      </c>
      <c r="AU260" s="10">
        <f>IF(AB260=1,IF(Q260="tak",AT260,PMT(M260/12,P260+1-SUM(AB$5:AB260),AS260)),0)</f>
        <v>-617.2814376717026</v>
      </c>
      <c r="AV260" s="10">
        <f aca="true" t="shared" si="960" ref="AV260">AU260-AT260</f>
        <v>-451.8075575218768</v>
      </c>
      <c r="AW260" s="10">
        <f aca="true" t="shared" si="961" ref="AW260">AU260*C260</f>
        <v>-2907.519027721254</v>
      </c>
      <c r="AY260" s="11">
        <f>AY$5+SUM(BA$5:BA259)+SUM(W$5:W259)-SUM(X$5:X259)</f>
        <v>83793.20719148559</v>
      </c>
      <c r="AZ260" s="11">
        <f aca="true" t="shared" si="962" ref="AZ260">IF(AB260=1,-AS260*M260/12,0)</f>
        <v>-165.47388014982582</v>
      </c>
      <c r="BA260" s="11">
        <f aca="true" t="shared" si="963" ref="BA260">IF(AB260=1,IF(Q260="tak",0,ROUND(-AY260/(P260-K260+1),2)),0)</f>
        <v>-490.02</v>
      </c>
      <c r="BB260" s="11">
        <f aca="true" t="shared" si="964" ref="BB260">BA260+AZ260</f>
        <v>-655.4938801498258</v>
      </c>
      <c r="BC260" s="11">
        <f aca="true" t="shared" si="965" ref="BC260">BB260*C260</f>
        <v>-3087.5072742817097</v>
      </c>
      <c r="BE260" s="172">
        <f aca="true" t="shared" si="966" ref="BE260">VLOOKUP(B260,Oproc,5)</f>
        <v>0.069</v>
      </c>
      <c r="BF260" s="44">
        <f>BE260+Podsumowanie!$E$6</f>
        <v>0.081</v>
      </c>
      <c r="BG260" s="11">
        <f>BG$5+SUM(BH$5:BH259)+SUM(R$5:R259)-SUM(S$5:S259)</f>
        <v>251216.1042970942</v>
      </c>
      <c r="BH260" s="10">
        <f aca="true" t="shared" si="967" ref="BH260">IF(BJ260&lt;0,BJ260-BI260,0)</f>
        <v>-777.6007570076879</v>
      </c>
      <c r="BI260" s="10">
        <f aca="true" t="shared" si="968" ref="BI260">IF(BJ260&lt;0,-BG260*BF260/12,0)</f>
        <v>-1695.708704005386</v>
      </c>
      <c r="BJ260" s="10">
        <f>IF(U260&lt;0,PMT(BF260/12,Podsumowanie!E$8-SUM(AB$5:AB260)+1,BG260),0)</f>
        <v>-2473.309461013074</v>
      </c>
      <c r="BL260" s="11">
        <f>BL$5+SUM(BN$5:BN259)+SUM(R$5:R259)-SUM(S$5:S259)</f>
        <v>190529.24791086404</v>
      </c>
      <c r="BM260" s="11">
        <f aca="true" t="shared" si="969" ref="BM260">IF(AB260=1,-BF260*BL260/12,0)</f>
        <v>-1286.0724233983324</v>
      </c>
      <c r="BN260" s="11">
        <f aca="true" t="shared" si="970" ref="BN260">IF(AB260=1,-BL260/(P260-K260+1),0)</f>
        <v>-1114.2061281337078</v>
      </c>
      <c r="BO260" s="11">
        <f aca="true" t="shared" si="971" ref="BO260">BN260+BM260</f>
        <v>-2400.27855153204</v>
      </c>
      <c r="BQ260" s="44">
        <f aca="true" t="shared" si="972" ref="BQ260">BE260+$BQ$4</f>
        <v>0.0811</v>
      </c>
      <c r="BR260" s="11">
        <f>BR$5+SUM(BS$5:BS259)+SUM(R$5:R259)-SUM(S$5:S259)+SUM(BV$5:BV259)</f>
        <v>229809.35437142066</v>
      </c>
      <c r="BS260" s="10">
        <f aca="true" t="shared" si="973" ref="BS260">IF(BU260&lt;0,BU260-BT260,0)</f>
        <v>-710.7406877921744</v>
      </c>
      <c r="BT260" s="10">
        <f aca="true" t="shared" si="974" ref="BT260">IF(BU260&lt;0,-BR260*BQ260/12,0)</f>
        <v>-1553.1282199601847</v>
      </c>
      <c r="BU260" s="10">
        <f>IF(U260&lt;0,PMT(BQ260/12,Podsumowanie!E$8-SUM(AB$5:AB260)+1,BR260),0)</f>
        <v>-2263.868907752359</v>
      </c>
      <c r="BV260" s="10">
        <f aca="true" t="shared" si="975" ref="BV260">F260-BU260</f>
        <v>-823.4966577660871</v>
      </c>
      <c r="BX260" s="11">
        <f>BX$5+SUM(BZ$5:BZ259)+SUM(R$5:R259)-SUM(S$5:S259)+SUM(CB$5,CB259)</f>
        <v>189958.37522662885</v>
      </c>
      <c r="BY260" s="10">
        <f aca="true" t="shared" si="976" ref="BY260">IF(AB260=1,-BQ260*BX260/12,0)</f>
        <v>-1283.8020192399667</v>
      </c>
      <c r="BZ260" s="10">
        <f aca="true" t="shared" si="977" ref="BZ260">IF(AB260=1,-BX260/(P260-K260+1),0)</f>
        <v>-1110.8676913837944</v>
      </c>
      <c r="CA260" s="10">
        <f aca="true" t="shared" si="978" ref="CA260">BZ260+BY260</f>
        <v>-2394.669710623761</v>
      </c>
      <c r="CB260" s="10">
        <f aca="true" t="shared" si="979" ref="CB260">$F260-CA260</f>
        <v>-692.695854894685</v>
      </c>
      <c r="CD260" s="10">
        <f>CD$5+SUM(CE$5:CE259)+SUM(R$5:R259)-SUM(S$5:S259)-SUM(CF$5:CF259)</f>
        <v>194161.37101504387</v>
      </c>
      <c r="CE260" s="10">
        <f aca="true" t="shared" si="980" ref="CE260">IF(AB260=1,BQ260*BX260/12,0)</f>
        <v>1283.8020192399667</v>
      </c>
      <c r="CF260" s="10">
        <f aca="true" t="shared" si="981" ref="CF260">-F260</f>
        <v>3087.365565518446</v>
      </c>
      <c r="CG260" s="10">
        <f aca="true" t="shared" si="982" ref="CG260">CF260-CE260</f>
        <v>1803.5635462784794</v>
      </c>
      <c r="CI260" s="44">
        <v>0.012</v>
      </c>
      <c r="CJ260" s="10">
        <f aca="true" t="shared" si="983" ref="CJ260">ROUND(CI260*(F260-S260),2)</f>
        <v>-37.05</v>
      </c>
      <c r="CK260" s="4">
        <f aca="true" t="shared" si="984" ref="CK260">ROUND(R260*CI260,2)</f>
        <v>0</v>
      </c>
      <c r="CM260" s="10">
        <f t="shared" si="278"/>
        <v>-420089.7353233369</v>
      </c>
      <c r="CN260" s="4">
        <f t="shared" si="279"/>
        <v>-2415.5159781091875</v>
      </c>
    </row>
    <row r="261" spans="1:92" ht="15.75">
      <c r="A261" s="36"/>
      <c r="B261" s="37">
        <v>45047</v>
      </c>
      <c r="C261" s="77">
        <f aca="true" t="shared" si="985" ref="C261">VLOOKUP(B261,Kursy,C$2)</f>
        <v>4.6549</v>
      </c>
      <c r="D261" s="79">
        <f>C261*(1+Podsumowanie!E$11)</f>
        <v>4.794547</v>
      </c>
      <c r="E261" s="34">
        <f aca="true" t="shared" si="986" ref="E261">Z261</f>
        <v>-642.9756055341829</v>
      </c>
      <c r="F261" s="7">
        <f aca="true" t="shared" si="987" ref="F261">E261*D261</f>
        <v>-3082.7767605871</v>
      </c>
      <c r="G261" s="7">
        <f aca="true" t="shared" si="988" ref="G261">U261</f>
        <v>-1418.1379939077167</v>
      </c>
      <c r="H261" s="7">
        <f aca="true" t="shared" si="989" ref="H261">G261-F261</f>
        <v>1664.6387666793833</v>
      </c>
      <c r="I261" s="32"/>
      <c r="K261" s="4">
        <f>IF(B261&lt;Podsumowanie!E$7,0,K260+1)</f>
        <v>191</v>
      </c>
      <c r="L261" s="100">
        <f aca="true" t="shared" si="990" ref="L261">VLOOKUP(B261,Oproc,C$2)</f>
        <v>0.011316</v>
      </c>
      <c r="M261" s="38">
        <f>L261+Podsumowanie!E$6</f>
        <v>0.023316</v>
      </c>
      <c r="N261" s="101">
        <f>MAX(Podsumowanie!E$4+SUM(AA$5:AA260)-SUM(X$5:X261)+SUM(W$5:W261),0)</f>
        <v>93472.34072015429</v>
      </c>
      <c r="O261" s="102">
        <f>MAX(Podsumowanie!E$2+SUM(V$5:V260)-SUM(S$5:S261)+SUM(R$5:R261),0)</f>
        <v>206161.28607960223</v>
      </c>
      <c r="P261" s="39">
        <f t="shared" si="401"/>
        <v>360</v>
      </c>
      <c r="Q261" s="40" t="str">
        <f>IF(AND(K261&gt;0,K261&lt;=Podsumowanie!E$9),"tak","nie")</f>
        <v>nie</v>
      </c>
      <c r="R261" s="41"/>
      <c r="S261" s="42"/>
      <c r="T261" s="88">
        <f aca="true" t="shared" si="991" ref="T261">IF(AB261=1,-O261*M261/12,0)</f>
        <v>-400.5713788526671</v>
      </c>
      <c r="U261" s="89">
        <f>IF(Q261="tak",T261,IF(P261-SUM(AB$5:AB261)+1&gt;0,IF(Podsumowanie!E$7&lt;B261,IF(SUM(AB$5:AB261)-Podsumowanie!E$9+1&gt;0,PMT(M261/12,P261+1-SUM(AB$5:AB261),O261),T261),0),0))</f>
        <v>-1418.1379939077167</v>
      </c>
      <c r="V261" s="89">
        <f aca="true" t="shared" si="992" ref="V261">U261-T261</f>
        <v>-1017.5666150550496</v>
      </c>
      <c r="W261" s="90" t="str">
        <f>IF(R261&gt;0,R261/(C261*(1-Podsumowanie!E$11))," ")</f>
        <v xml:space="preserve"> </v>
      </c>
      <c r="X261" s="90">
        <f t="shared" si="266"/>
        <v>0</v>
      </c>
      <c r="Y261" s="91">
        <f aca="true" t="shared" si="993" ref="Y261">IF(AB261=1,-N261*M261/12,0)</f>
        <v>-181.61675801925978</v>
      </c>
      <c r="Z261" s="90">
        <f>IF(P261-SUM(AB$5:AB261)+1&gt;0,IF(Podsumowanie!E$7&lt;B261,IF(SUM(AB$5:AB261)-Podsumowanie!E$9+1&gt;0,PMT(M261/12,P261+1-SUM(AB$5:AB261),N261),Y261),0),0)</f>
        <v>-642.9756055341829</v>
      </c>
      <c r="AA261" s="90">
        <f aca="true" t="shared" si="994" ref="AA261">Z261-Y261</f>
        <v>-461.3588475149231</v>
      </c>
      <c r="AB261" s="8">
        <f>IF(AND(Podsumowanie!E$7&lt;B261,SUM(AB$5:AB260)&lt;P260),1," ")</f>
        <v>1</v>
      </c>
      <c r="AD261" s="51">
        <f>IF(OR(B261&lt;Podsumowanie!E$12,Podsumowanie!E$12=""),-F261+S261,0)</f>
        <v>0</v>
      </c>
      <c r="AE261" s="51">
        <f t="shared" si="267"/>
        <v>642.9756055341829</v>
      </c>
      <c r="AG261" s="10">
        <f>Podsumowanie!E$4-SUM(AI$5:AI260)+SUM(W$42:W261)-SUM(X$42:X261)</f>
        <v>85879.74813555252</v>
      </c>
      <c r="AH261" s="10">
        <f aca="true" t="shared" si="995" ref="AH261">IF(AB261=1,ROUND(AG261*M261/12,2),0)</f>
        <v>166.86</v>
      </c>
      <c r="AI261" s="10">
        <f aca="true" t="shared" si="996" ref="AI261">IF(Q261="tak",0,IF(AB261=1,ROUND(AG261/(P261-K261+1),2),0))</f>
        <v>505.17</v>
      </c>
      <c r="AJ261" s="10">
        <f aca="true" t="shared" si="997" ref="AJ261">AI261+AH261</f>
        <v>672.03</v>
      </c>
      <c r="AK261" s="10">
        <f aca="true" t="shared" si="998" ref="AK261">ROUND(AJ261*D261,2)</f>
        <v>3222.08</v>
      </c>
      <c r="AL261" s="10">
        <f>Podsumowanie!E$2-SUM(AN$5:AN260)+SUM(R$42:R261)-SUM(S$42:S261)</f>
        <v>189414.84999999971</v>
      </c>
      <c r="AM261" s="10">
        <f aca="true" t="shared" si="999" ref="AM261">IF(AB261=1,ROUND(AL261*M261/12,2),0)</f>
        <v>368.03</v>
      </c>
      <c r="AN261" s="10">
        <f aca="true" t="shared" si="1000" ref="AN261">IF(Q261="tak",0,IF(AB261=1,ROUND(AL261/(P261-K261+1),2),0))</f>
        <v>1114.21</v>
      </c>
      <c r="AO261" s="10">
        <f aca="true" t="shared" si="1001" ref="AO261">AN261+AM261</f>
        <v>1482.24</v>
      </c>
      <c r="AP261" s="10">
        <f aca="true" t="shared" si="1002" ref="AP261">AK261-AO261</f>
        <v>1739.84</v>
      </c>
      <c r="AR261" s="43">
        <f aca="true" t="shared" si="1003" ref="AR261">B261</f>
        <v>45047</v>
      </c>
      <c r="AS261" s="11">
        <f>AS$5+SUM(AV$5:AV260)-SUM(X$5:X261)+SUM(W$5:W261)</f>
        <v>90668.1704985496</v>
      </c>
      <c r="AT261" s="10">
        <f aca="true" t="shared" si="1004" ref="AT261">IF(AB261=1,-AS261*M261/12,0)</f>
        <v>-176.16825527868187</v>
      </c>
      <c r="AU261" s="10">
        <f>IF(AB261=1,IF(Q261="tak",AT261,PMT(M261/12,P261+1-SUM(AB$5:AB261),AS261)),0)</f>
        <v>-623.6863373681572</v>
      </c>
      <c r="AV261" s="10">
        <f aca="true" t="shared" si="1005" ref="AV261">AU261-AT261</f>
        <v>-447.51808208947534</v>
      </c>
      <c r="AW261" s="10">
        <f aca="true" t="shared" si="1006" ref="AW261">AU261*C261</f>
        <v>-2903.197531815035</v>
      </c>
      <c r="AY261" s="11">
        <f>AY$5+SUM(BA$5:BA260)+SUM(W$5:W260)-SUM(X$5:X260)</f>
        <v>83303.18719148559</v>
      </c>
      <c r="AZ261" s="11">
        <f aca="true" t="shared" si="1007" ref="AZ261">IF(AB261=1,-AS261*M261/12,0)</f>
        <v>-176.16825527868187</v>
      </c>
      <c r="BA261" s="11">
        <f aca="true" t="shared" si="1008" ref="BA261">IF(AB261=1,IF(Q261="tak",0,ROUND(-AY261/(P261-K261+1),2)),0)</f>
        <v>-490.02</v>
      </c>
      <c r="BB261" s="11">
        <f aca="true" t="shared" si="1009" ref="BB261">BA261+AZ261</f>
        <v>-666.1882552786818</v>
      </c>
      <c r="BC261" s="11">
        <f aca="true" t="shared" si="1010" ref="BC261">BB261*C261</f>
        <v>-3101.0397094967357</v>
      </c>
      <c r="BE261" s="172">
        <f aca="true" t="shared" si="1011" ref="BE261">VLOOKUP(B261,Oproc,5)</f>
        <v>0.068995</v>
      </c>
      <c r="BF261" s="44">
        <f>BE261+Podsumowanie!$E$6</f>
        <v>0.080995</v>
      </c>
      <c r="BG261" s="11">
        <f>BG$5+SUM(BH$5:BH260)+SUM(R$5:R260)-SUM(S$5:S260)</f>
        <v>250438.5035400865</v>
      </c>
      <c r="BH261" s="10">
        <f aca="true" t="shared" si="1012" ref="BH261">IF(BJ261&lt;0,BJ261-BI261,0)</f>
        <v>-782.8823002007318</v>
      </c>
      <c r="BI261" s="10">
        <f aca="true" t="shared" si="1013" ref="BI261">IF(BJ261&lt;0,-BG261*BF261/12,0)</f>
        <v>-1690.3555495191088</v>
      </c>
      <c r="BJ261" s="10">
        <f>IF(U261&lt;0,PMT(BF261/12,Podsumowanie!E$8-SUM(AB$5:AB261)+1,BG261),0)</f>
        <v>-2473.2378497198406</v>
      </c>
      <c r="BL261" s="11">
        <f>BL$5+SUM(BN$5:BN260)+SUM(R$5:R260)-SUM(S$5:S260)</f>
        <v>189415.04178273035</v>
      </c>
      <c r="BM261" s="11">
        <f aca="true" t="shared" si="1014" ref="BM261">IF(AB261=1,-BF261*BL261/12,0)</f>
        <v>-1278.4726090993538</v>
      </c>
      <c r="BN261" s="11">
        <f aca="true" t="shared" si="1015" ref="BN261">IF(AB261=1,-BL261/(P261-K261+1),0)</f>
        <v>-1114.2061281337078</v>
      </c>
      <c r="BO261" s="11">
        <f aca="true" t="shared" si="1016" ref="BO261">BN261+BM261</f>
        <v>-2392.678737233062</v>
      </c>
      <c r="BQ261" s="44">
        <f aca="true" t="shared" si="1017" ref="BQ261">BE261+$BQ$4</f>
        <v>0.081095</v>
      </c>
      <c r="BR261" s="11">
        <f>BR$5+SUM(BS$5:BS260)+SUM(R$5:R260)-SUM(S$5:S260)+SUM(BV$5:BV260)</f>
        <v>228275.11702586242</v>
      </c>
      <c r="BS261" s="10">
        <f aca="true" t="shared" si="1018" ref="BS261">IF(BU261&lt;0,BU261-BT261,0)</f>
        <v>-713.0019028870031</v>
      </c>
      <c r="BT261" s="10">
        <f aca="true" t="shared" si="1019" ref="BT261">IF(BU261&lt;0,-BR261*BQ261/12,0)</f>
        <v>-1542.6642179343596</v>
      </c>
      <c r="BU261" s="10">
        <f>IF(U261&lt;0,PMT(BQ261/12,Podsumowanie!E$8-SUM(AB$5:AB261)+1,BR261),0)</f>
        <v>-2255.6661208213627</v>
      </c>
      <c r="BV261" s="10">
        <f aca="true" t="shared" si="1020" ref="BV261">F261-BU261</f>
        <v>-827.1106397657372</v>
      </c>
      <c r="BX261" s="11">
        <f>BX$5+SUM(BZ$5:BZ260)+SUM(R$5:R260)-SUM(S$5:S260)+SUM(CB$5,CB260)</f>
        <v>188853.7030014977</v>
      </c>
      <c r="BY261" s="10">
        <f aca="true" t="shared" si="1021" ref="BY261">IF(AB261=1,-BQ261*BX261/12,0)</f>
        <v>-1276.257587075538</v>
      </c>
      <c r="BZ261" s="10">
        <f aca="true" t="shared" si="1022" ref="BZ261">IF(AB261=1,-BX261/(P261-K261+1),0)</f>
        <v>-1110.9041353029277</v>
      </c>
      <c r="CA261" s="10">
        <f aca="true" t="shared" si="1023" ref="CA261">BZ261+BY261</f>
        <v>-2387.1617223784656</v>
      </c>
      <c r="CB261" s="10">
        <f aca="true" t="shared" si="1024" ref="CB261">$F261-CA261</f>
        <v>-695.6150382086344</v>
      </c>
      <c r="CD261" s="10">
        <f>CD$5+SUM(CE$5:CE260)+SUM(R$5:R260)-SUM(S$5:S260)-SUM(CF$5:CF260)</f>
        <v>192357.80746876542</v>
      </c>
      <c r="CE261" s="10">
        <f aca="true" t="shared" si="1025" ref="CE261">IF(AB261=1,BQ261*BX261/12,0)</f>
        <v>1276.257587075538</v>
      </c>
      <c r="CF261" s="10">
        <f aca="true" t="shared" si="1026" ref="CF261">-F261</f>
        <v>3082.7767605871</v>
      </c>
      <c r="CG261" s="10">
        <f aca="true" t="shared" si="1027" ref="CG261">CF261-CE261</f>
        <v>1806.519173511562</v>
      </c>
      <c r="CI261" s="44">
        <v>0.005</v>
      </c>
      <c r="CJ261" s="10">
        <f aca="true" t="shared" si="1028" ref="CJ261">ROUND(CI261*(F261-S261),2)</f>
        <v>-15.41</v>
      </c>
      <c r="CK261" s="4">
        <f aca="true" t="shared" si="1029" ref="CK261">ROUND(R261*CI261,2)</f>
        <v>0</v>
      </c>
      <c r="CM261" s="10">
        <f t="shared" si="278"/>
        <v>-423172.512083924</v>
      </c>
      <c r="CN261" s="4">
        <f t="shared" si="279"/>
        <v>-2433.065622602528</v>
      </c>
    </row>
    <row r="262" spans="1:92" ht="15.75">
      <c r="A262" s="36"/>
      <c r="B262" s="37">
        <v>45078</v>
      </c>
      <c r="C262" s="77">
        <f aca="true" t="shared" si="1030" ref="C262:C263">VLOOKUP(B262,Kursy,C$2)</f>
        <v>4.5777</v>
      </c>
      <c r="D262" s="79">
        <f>C262*(1+Podsumowanie!E$11)</f>
        <v>4.715031000000001</v>
      </c>
      <c r="E262" s="34">
        <f aca="true" t="shared" si="1031" ref="E262:E263">Z262</f>
        <v>-650.0544044218212</v>
      </c>
      <c r="F262" s="7">
        <f aca="true" t="shared" si="1032" ref="F262:F263">E262*D262</f>
        <v>-3065.0266685354245</v>
      </c>
      <c r="G262" s="7">
        <f aca="true" t="shared" si="1033" ref="G262:G263">U262</f>
        <v>-1433.7508936311074</v>
      </c>
      <c r="H262" s="7">
        <f aca="true" t="shared" si="1034" ref="H262:H263">G262-F262</f>
        <v>1631.2757749043171</v>
      </c>
      <c r="I262" s="32"/>
      <c r="K262" s="4">
        <f>IF(B262&lt;Podsumowanie!E$7,0,K261+1)</f>
        <v>192</v>
      </c>
      <c r="L262" s="100">
        <f aca="true" t="shared" si="1035" ref="L262:L263">VLOOKUP(B262,Oproc,C$2)</f>
        <v>0.012948000000000001</v>
      </c>
      <c r="M262" s="38">
        <f>L262+Podsumowanie!E$6</f>
        <v>0.024948</v>
      </c>
      <c r="N262" s="101">
        <f>MAX(Podsumowanie!E$4+SUM(AA$5:AA261)-SUM(X$5:X262)+SUM(W$5:W262),0)</f>
        <v>93010.98187263936</v>
      </c>
      <c r="O262" s="102">
        <f>MAX(Podsumowanie!E$2+SUM(V$5:V261)-SUM(S$5:S262)+SUM(R$5:R262),0)</f>
        <v>205143.71946454718</v>
      </c>
      <c r="P262" s="39">
        <f t="shared" si="401"/>
        <v>360</v>
      </c>
      <c r="Q262" s="40" t="str">
        <f>IF(AND(K262&gt;0,K262&lt;=Podsumowanie!E$9),"tak","nie")</f>
        <v>nie</v>
      </c>
      <c r="R262" s="41"/>
      <c r="S262" s="42"/>
      <c r="T262" s="88">
        <f aca="true" t="shared" si="1036" ref="T262:T263">IF(AB262=1,-O262*M262/12,0)</f>
        <v>-426.4937927667936</v>
      </c>
      <c r="U262" s="89">
        <f>IF(Q262="tak",T262,IF(P262-SUM(AB$5:AB262)+1&gt;0,IF(Podsumowanie!E$7&lt;B262,IF(SUM(AB$5:AB262)-Podsumowanie!E$9+1&gt;0,PMT(M262/12,P262+1-SUM(AB$5:AB262),O262),T262),0),0))</f>
        <v>-1433.7508936311074</v>
      </c>
      <c r="V262" s="89">
        <f aca="true" t="shared" si="1037" ref="V262:V263">U262-T262</f>
        <v>-1007.2571008643138</v>
      </c>
      <c r="W262" s="90" t="str">
        <f>IF(R262&gt;0,R262/(C262*(1-Podsumowanie!E$11))," ")</f>
        <v xml:space="preserve"> </v>
      </c>
      <c r="X262" s="90">
        <f aca="true" t="shared" si="1038" ref="X262:X263">IF(S262&gt;0,S262/D262,0)</f>
        <v>0</v>
      </c>
      <c r="Y262" s="91">
        <f aca="true" t="shared" si="1039" ref="Y262:Y263">IF(AB262=1,-N262*M262/12,0)</f>
        <v>-193.36983131321722</v>
      </c>
      <c r="Z262" s="90">
        <f>IF(P262-SUM(AB$5:AB262)+1&gt;0,IF(Podsumowanie!E$7&lt;B262,IF(SUM(AB$5:AB262)-Podsumowanie!E$9+1&gt;0,PMT(M262/12,P262+1-SUM(AB$5:AB262),N262),Y262),0),0)</f>
        <v>-650.0544044218212</v>
      </c>
      <c r="AA262" s="90">
        <f aca="true" t="shared" si="1040" ref="AA262:AA263">Z262-Y262</f>
        <v>-456.684573108604</v>
      </c>
      <c r="AB262" s="8">
        <f>IF(AND(Podsumowanie!E$7&lt;B262,SUM(AB$5:AB261)&lt;P261),1," ")</f>
        <v>1</v>
      </c>
      <c r="AD262" s="51">
        <f>IF(OR(B262&lt;Podsumowanie!E$12,Podsumowanie!E$12=""),-F262+S262,0)</f>
        <v>0</v>
      </c>
      <c r="AE262" s="51">
        <f aca="true" t="shared" si="1041" ref="AE262:AE263">IF(AD262=0,-E262+X262,0)</f>
        <v>650.0544044218212</v>
      </c>
      <c r="AG262" s="10">
        <f>Podsumowanie!E$4-SUM(AI$5:AI261)+SUM(W$42:W262)-SUM(X$42:X262)</f>
        <v>85374.57813555253</v>
      </c>
      <c r="AH262" s="10">
        <f aca="true" t="shared" si="1042" ref="AH262:AH263">IF(AB262=1,ROUND(AG262*M262/12,2),0)</f>
        <v>177.49</v>
      </c>
      <c r="AI262" s="10">
        <f aca="true" t="shared" si="1043" ref="AI262:AI263">IF(Q262="tak",0,IF(AB262=1,ROUND(AG262/(P262-K262+1),2),0))</f>
        <v>505.18</v>
      </c>
      <c r="AJ262" s="10">
        <f aca="true" t="shared" si="1044" ref="AJ262:AJ263">AI262+AH262</f>
        <v>682.6700000000001</v>
      </c>
      <c r="AK262" s="10">
        <f aca="true" t="shared" si="1045" ref="AK262:AK263">ROUND(AJ262*D262,2)</f>
        <v>3218.81</v>
      </c>
      <c r="AL262" s="10">
        <f>Podsumowanie!E$2-SUM(AN$5:AN261)+SUM(R$42:R262)-SUM(S$42:S262)</f>
        <v>188300.63999999972</v>
      </c>
      <c r="AM262" s="10">
        <f aca="true" t="shared" si="1046" ref="AM262:AM263">IF(AB262=1,ROUND(AL262*M262/12,2),0)</f>
        <v>391.48</v>
      </c>
      <c r="AN262" s="10">
        <f aca="true" t="shared" si="1047" ref="AN262:AN263">IF(Q262="tak",0,IF(AB262=1,ROUND(AL262/(P262-K262+1),2),0))</f>
        <v>1114.2</v>
      </c>
      <c r="AO262" s="10">
        <f aca="true" t="shared" si="1048" ref="AO262:AO263">AN262+AM262</f>
        <v>1505.68</v>
      </c>
      <c r="AP262" s="10">
        <f aca="true" t="shared" si="1049" ref="AP262:AP263">AK262-AO262</f>
        <v>1713.1299999999999</v>
      </c>
      <c r="AR262" s="43">
        <f aca="true" t="shared" si="1050" ref="AR262:AR263">B262</f>
        <v>45078</v>
      </c>
      <c r="AS262" s="11">
        <f>AS$5+SUM(AV$5:AV261)-SUM(X$5:X262)+SUM(W$5:W262)</f>
        <v>90220.65241646013</v>
      </c>
      <c r="AT262" s="10">
        <f aca="true" t="shared" si="1051" ref="AT262:AT263">IF(AB262=1,-AS262*M262/12,0)</f>
        <v>-187.5687363738206</v>
      </c>
      <c r="AU262" s="10">
        <f>IF(AB262=1,IF(Q262="tak",AT262,PMT(M262/12,P262+1-SUM(AB$5:AB262),AS262)),0)</f>
        <v>-630.5527722891663</v>
      </c>
      <c r="AV262" s="10">
        <f aca="true" t="shared" si="1052" ref="AV262:AV263">AU262-AT262</f>
        <v>-442.98403591534577</v>
      </c>
      <c r="AW262" s="10">
        <f aca="true" t="shared" si="1053" ref="AW262:AW263">AU262*C262</f>
        <v>-2886.4814257081166</v>
      </c>
      <c r="AY262" s="11">
        <f>AY$5+SUM(BA$5:BA261)+SUM(W$5:W261)-SUM(X$5:X261)</f>
        <v>82813.16719148558</v>
      </c>
      <c r="AZ262" s="11">
        <f aca="true" t="shared" si="1054" ref="AZ262:AZ263">IF(AB262=1,-AS262*M262/12,0)</f>
        <v>-187.5687363738206</v>
      </c>
      <c r="BA262" s="11">
        <f aca="true" t="shared" si="1055" ref="BA262:BA263">IF(AB262=1,IF(Q262="tak",0,ROUND(-AY262/(P262-K262+1),2)),0)</f>
        <v>-490.02</v>
      </c>
      <c r="BB262" s="11">
        <f aca="true" t="shared" si="1056" ref="BB262:BB263">BA262+AZ262</f>
        <v>-677.5887363738206</v>
      </c>
      <c r="BC262" s="11">
        <f aca="true" t="shared" si="1057" ref="BC262:BC263">BB262*C262</f>
        <v>-3101.797958498438</v>
      </c>
      <c r="BE262" s="172">
        <f aca="true" t="shared" si="1058" ref="BE262:BE263">VLOOKUP(B262,Oproc,5)</f>
        <v>0.068995</v>
      </c>
      <c r="BF262" s="44">
        <f>BE262+Podsumowanie!$E$6</f>
        <v>0.080995</v>
      </c>
      <c r="BG262" s="11">
        <f>BG$5+SUM(BH$5:BH261)+SUM(R$5:R261)-SUM(S$5:S261)</f>
        <v>249655.62123988578</v>
      </c>
      <c r="BH262" s="10">
        <f aca="true" t="shared" si="1059" ref="BH262:BH263">IF(BJ262&lt;0,BJ262-BI262,0)</f>
        <v>-788.1664295261287</v>
      </c>
      <c r="BI262" s="10">
        <f aca="true" t="shared" si="1060" ref="BI262:BI263">IF(BJ262&lt;0,-BG262*BF262/12,0)</f>
        <v>-1685.0714201937124</v>
      </c>
      <c r="BJ262" s="10">
        <f>IF(U262&lt;0,PMT(BF262/12,Podsumowanie!E$8-SUM(AB$5:AB262)+1,BG262),0)</f>
        <v>-2473.237849719841</v>
      </c>
      <c r="BL262" s="11">
        <f>BL$5+SUM(BN$5:BN261)+SUM(R$5:R261)-SUM(S$5:S261)</f>
        <v>188300.83565459665</v>
      </c>
      <c r="BM262" s="11">
        <f aca="true" t="shared" si="1061" ref="BM262:BM263">IF(AB262=1,-BF262*BL262/12,0)</f>
        <v>-1270.9521819870047</v>
      </c>
      <c r="BN262" s="11">
        <f aca="true" t="shared" si="1062" ref="BN262:BN263">IF(AB262=1,-BL262/(P262-K262+1),0)</f>
        <v>-1114.206128133708</v>
      </c>
      <c r="BO262" s="11">
        <f aca="true" t="shared" si="1063" ref="BO262:BO263">BN262+BM262</f>
        <v>-2385.1583101207125</v>
      </c>
      <c r="BQ262" s="44">
        <f aca="true" t="shared" si="1064" ref="BQ262:BQ263">BE262+$BQ$4</f>
        <v>0.081095</v>
      </c>
      <c r="BR262" s="11">
        <f>BR$5+SUM(BS$5:BS261)+SUM(R$5:R261)-SUM(S$5:S261)+SUM(BV$5:BV261)</f>
        <v>226735.00448320966</v>
      </c>
      <c r="BS262" s="10">
        <f aca="true" t="shared" si="1065" ref="BS262:BS263">IF(BU262&lt;0,BU262-BT262,0)</f>
        <v>-715.2112784363637</v>
      </c>
      <c r="BT262" s="10">
        <f aca="true" t="shared" si="1066" ref="BT262:BT263">IF(BU262&lt;0,-BR262*BQ262/12,0)</f>
        <v>-1532.256265713824</v>
      </c>
      <c r="BU262" s="10">
        <f>IF(U262&lt;0,PMT(BQ262/12,Podsumowanie!E$8-SUM(AB$5:AB262)+1,BR262),0)</f>
        <v>-2247.4675441501877</v>
      </c>
      <c r="BV262" s="10">
        <f aca="true" t="shared" si="1067" ref="BV262:BV263">F262-BU262</f>
        <v>-817.5591243852368</v>
      </c>
      <c r="BX262" s="11">
        <f>BX$5+SUM(BZ$5:BZ261)+SUM(R$5:R261)-SUM(S$5:S261)+SUM(CB$5,CB261)</f>
        <v>187739.8796828808</v>
      </c>
      <c r="BY262" s="10">
        <f aca="true" t="shared" si="1068" ref="BY262:BY263">IF(AB262=1,-BQ262*BX262/12,0)</f>
        <v>-1268.7304619069348</v>
      </c>
      <c r="BZ262" s="10">
        <f aca="true" t="shared" si="1069" ref="BZ262:BZ263">IF(AB262=1,-BX262/(P262-K262+1),0)</f>
        <v>-1110.8868620288804</v>
      </c>
      <c r="CA262" s="10">
        <f aca="true" t="shared" si="1070" ref="CA262:CA263">BZ262+BY262</f>
        <v>-2379.617323935815</v>
      </c>
      <c r="CB262" s="10">
        <f aca="true" t="shared" si="1071" ref="CB262:CB263">$F262-CA262</f>
        <v>-685.4093445996095</v>
      </c>
      <c r="CD262" s="10">
        <f>CD$5+SUM(CE$5:CE261)+SUM(R$5:R261)-SUM(S$5:S261)-SUM(CF$5:CF261)</f>
        <v>190551.28829525376</v>
      </c>
      <c r="CE262" s="10">
        <f aca="true" t="shared" si="1072" ref="CE262:CE263">IF(AB262=1,BQ262*BX262/12,0)</f>
        <v>1268.7304619069348</v>
      </c>
      <c r="CF262" s="10">
        <f aca="true" t="shared" si="1073" ref="CF262:CF263">-F262</f>
        <v>3065.0266685354245</v>
      </c>
      <c r="CG262" s="10">
        <f aca="true" t="shared" si="1074" ref="CG262:CG263">CF262-CE262</f>
        <v>1796.2962066284897</v>
      </c>
      <c r="CI262" s="44">
        <v>0.005</v>
      </c>
      <c r="CJ262" s="10">
        <f aca="true" t="shared" si="1075" ref="CJ262:CJ263">ROUND(CI262*(F262-S262),2)</f>
        <v>-15.33</v>
      </c>
      <c r="CK262" s="4">
        <f aca="true" t="shared" si="1076" ref="CK262:CK263">ROUND(R262*CI262,2)</f>
        <v>0</v>
      </c>
      <c r="CM262" s="10">
        <f aca="true" t="shared" si="1077" ref="CM262:CM263">F262+S262+CM261</f>
        <v>-426237.53875245946</v>
      </c>
      <c r="CN262" s="4">
        <f aca="true" t="shared" si="1078" ref="CN262:CN263">CM262*BE262/12</f>
        <v>-2450.688248852162</v>
      </c>
    </row>
    <row r="263" spans="1:92" ht="15.75">
      <c r="A263" s="36"/>
      <c r="B263" s="37">
        <v>45108</v>
      </c>
      <c r="C263" s="77">
        <f t="shared" si="1030"/>
        <v>4.6007</v>
      </c>
      <c r="D263" s="79">
        <f>C263*(1+Podsumowanie!E$11)</f>
        <v>4.738721</v>
      </c>
      <c r="E263" s="34">
        <f t="shared" si="1031"/>
        <v>-656.9067055755485</v>
      </c>
      <c r="F263" s="7">
        <f t="shared" si="1032"/>
        <v>-3112.8976007516685</v>
      </c>
      <c r="G263" s="7">
        <f t="shared" si="1033"/>
        <v>-1448.8642331235517</v>
      </c>
      <c r="H263" s="7">
        <f t="shared" si="1034"/>
        <v>1664.0333676281168</v>
      </c>
      <c r="I263" s="32"/>
      <c r="K263" s="4">
        <f>IF(B263&lt;Podsumowanie!E$7,0,K262+1)</f>
        <v>193</v>
      </c>
      <c r="L263" s="100">
        <f t="shared" si="1035"/>
        <v>0.014526</v>
      </c>
      <c r="M263" s="38">
        <f>L263+Podsumowanie!E$6</f>
        <v>0.026526</v>
      </c>
      <c r="N263" s="101">
        <f>MAX(Podsumowanie!E$4+SUM(AA$5:AA262)-SUM(X$5:X263)+SUM(W$5:W263),0)</f>
        <v>92554.29729953075</v>
      </c>
      <c r="O263" s="102">
        <f>MAX(Podsumowanie!E$2+SUM(V$5:V262)-SUM(S$5:S263)+SUM(R$5:R263),0)</f>
        <v>204136.46236368286</v>
      </c>
      <c r="P263" s="39">
        <f t="shared" si="401"/>
        <v>360</v>
      </c>
      <c r="Q263" s="40" t="str">
        <f>IF(AND(K263&gt;0,K263&lt;=Podsumowanie!E$9),"tak","nie")</f>
        <v>nie</v>
      </c>
      <c r="R263" s="41"/>
      <c r="S263" s="42"/>
      <c r="T263" s="88">
        <f t="shared" si="1036"/>
        <v>-451.24365005492103</v>
      </c>
      <c r="U263" s="89">
        <f>IF(Q263="tak",T263,IF(P263-SUM(AB$5:AB263)+1&gt;0,IF(Podsumowanie!E$7&lt;B263,IF(SUM(AB$5:AB263)-Podsumowanie!E$9+1&gt;0,PMT(M263/12,P263+1-SUM(AB$5:AB263),O263),T263),0),0))</f>
        <v>-1448.8642331235517</v>
      </c>
      <c r="V263" s="89">
        <f t="shared" si="1037"/>
        <v>-997.6205830686306</v>
      </c>
      <c r="W263" s="90" t="str">
        <f>IF(R263&gt;0,R263/(C263*(1-Podsumowanie!E$11))," ")</f>
        <v xml:space="preserve"> </v>
      </c>
      <c r="X263" s="90">
        <f t="shared" si="1038"/>
        <v>0</v>
      </c>
      <c r="Y263" s="91">
        <f t="shared" si="1039"/>
        <v>-204.59127418061271</v>
      </c>
      <c r="Z263" s="90">
        <f>IF(P263-SUM(AB$5:AB263)+1&gt;0,IF(Podsumowanie!E$7&lt;B263,IF(SUM(AB$5:AB263)-Podsumowanie!E$9+1&gt;0,PMT(M263/12,P263+1-SUM(AB$5:AB263),N263),Y263),0),0)</f>
        <v>-656.9067055755485</v>
      </c>
      <c r="AA263" s="90">
        <f t="shared" si="1040"/>
        <v>-452.3154313949358</v>
      </c>
      <c r="AB263" s="8">
        <f>IF(AND(Podsumowanie!E$7&lt;B263,SUM(AB$5:AB262)&lt;P262),1," ")</f>
        <v>1</v>
      </c>
      <c r="AD263" s="51">
        <f>IF(OR(B263&lt;Podsumowanie!E$12,Podsumowanie!E$12=""),-F263+S263,0)</f>
        <v>0</v>
      </c>
      <c r="AE263" s="51">
        <f t="shared" si="1041"/>
        <v>656.9067055755485</v>
      </c>
      <c r="AG263" s="10">
        <f>Podsumowanie!E$4-SUM(AI$5:AI262)+SUM(W$42:W263)-SUM(X$42:X263)</f>
        <v>84869.39813555253</v>
      </c>
      <c r="AH263" s="10">
        <f t="shared" si="1042"/>
        <v>187.6</v>
      </c>
      <c r="AI263" s="10">
        <f t="shared" si="1043"/>
        <v>505.17</v>
      </c>
      <c r="AJ263" s="10">
        <f t="shared" si="1044"/>
        <v>692.77</v>
      </c>
      <c r="AK263" s="10">
        <f t="shared" si="1045"/>
        <v>3282.84</v>
      </c>
      <c r="AL263" s="10">
        <f>Podsumowanie!E$2-SUM(AN$5:AN262)+SUM(R$42:R263)-SUM(S$42:S263)</f>
        <v>187186.4399999997</v>
      </c>
      <c r="AM263" s="10">
        <f t="shared" si="1046"/>
        <v>413.78</v>
      </c>
      <c r="AN263" s="10">
        <f t="shared" si="1047"/>
        <v>1114.21</v>
      </c>
      <c r="AO263" s="10">
        <f t="shared" si="1048"/>
        <v>1527.99</v>
      </c>
      <c r="AP263" s="10">
        <f t="shared" si="1049"/>
        <v>1754.8500000000001</v>
      </c>
      <c r="AR263" s="43">
        <f t="shared" si="1050"/>
        <v>45108</v>
      </c>
      <c r="AS263" s="11">
        <f>AS$5+SUM(AV$5:AV262)-SUM(X$5:X263)+SUM(W$5:W263)</f>
        <v>89777.66838054478</v>
      </c>
      <c r="AT263" s="10">
        <f t="shared" si="1051"/>
        <v>-198.45353595519427</v>
      </c>
      <c r="AU263" s="10">
        <f>IF(AB263=1,IF(Q263="tak",AT263,PMT(M263/12,P263+1-SUM(AB$5:AB263),AS263)),0)</f>
        <v>-637.1995044082818</v>
      </c>
      <c r="AV263" s="10">
        <f t="shared" si="1052"/>
        <v>-438.74596845308747</v>
      </c>
      <c r="AW263" s="10">
        <f t="shared" si="1053"/>
        <v>-2931.5637599311817</v>
      </c>
      <c r="AY263" s="11">
        <f>AY$5+SUM(BA$5:BA262)+SUM(W$5:W262)-SUM(X$5:X262)</f>
        <v>82323.14719148558</v>
      </c>
      <c r="AZ263" s="11">
        <f t="shared" si="1054"/>
        <v>-198.45353595519427</v>
      </c>
      <c r="BA263" s="11">
        <f t="shared" si="1055"/>
        <v>-490.02</v>
      </c>
      <c r="BB263" s="11">
        <f t="shared" si="1056"/>
        <v>-688.4735359551943</v>
      </c>
      <c r="BC263" s="11">
        <f t="shared" si="1057"/>
        <v>-3167.460196869062</v>
      </c>
      <c r="BE263" s="172">
        <f t="shared" si="1058"/>
        <v>0.068995</v>
      </c>
      <c r="BF263" s="44">
        <f>BE263+Podsumowanie!$E$6</f>
        <v>0.080995</v>
      </c>
      <c r="BG263" s="11">
        <f>BG$5+SUM(BH$5:BH262)+SUM(R$5:R262)-SUM(S$5:S262)</f>
        <v>248867.45481035966</v>
      </c>
      <c r="BH263" s="10">
        <f t="shared" si="1059"/>
        <v>-793.4862245227505</v>
      </c>
      <c r="BI263" s="10">
        <f t="shared" si="1060"/>
        <v>-1679.75162519709</v>
      </c>
      <c r="BJ263" s="10">
        <f>IF(U263&lt;0,PMT(BF263/12,Podsumowanie!E$8-SUM(AB$5:AB263)+1,BG263),0)</f>
        <v>-2473.2378497198406</v>
      </c>
      <c r="BL263" s="11">
        <f>BL$5+SUM(BN$5:BN262)+SUM(R$5:R262)-SUM(S$5:S262)</f>
        <v>187186.62952646296</v>
      </c>
      <c r="BM263" s="11">
        <f t="shared" si="1061"/>
        <v>-1263.4317548746556</v>
      </c>
      <c r="BN263" s="11">
        <f t="shared" si="1062"/>
        <v>-1114.206128133708</v>
      </c>
      <c r="BO263" s="11">
        <f t="shared" si="1063"/>
        <v>-2377.6378830083636</v>
      </c>
      <c r="BQ263" s="44">
        <f t="shared" si="1064"/>
        <v>0.081095</v>
      </c>
      <c r="BR263" s="11">
        <f>BR$5+SUM(BS$5:BS262)+SUM(R$5:R262)-SUM(S$5:S262)+SUM(BV$5:BV262)</f>
        <v>225202.23408038807</v>
      </c>
      <c r="BS263" s="10">
        <f t="shared" si="1065"/>
        <v>-717.4400702215132</v>
      </c>
      <c r="BT263" s="10">
        <f t="shared" si="1066"/>
        <v>-1521.8979310624225</v>
      </c>
      <c r="BU263" s="10">
        <f>IF(U263&lt;0,PMT(BQ263/12,Podsumowanie!E$8-SUM(AB$5:AB263)+1,BR263),0)</f>
        <v>-2239.3380012839357</v>
      </c>
      <c r="BV263" s="10">
        <f t="shared" si="1067"/>
        <v>-873.5595994677328</v>
      </c>
      <c r="BX263" s="11">
        <f>BX$5+SUM(BZ$5:BZ262)+SUM(R$5:R262)-SUM(S$5:S262)+SUM(CB$5,CB262)</f>
        <v>186639.19851446094</v>
      </c>
      <c r="BY263" s="10">
        <f t="shared" si="1068"/>
        <v>-1261.2921502941842</v>
      </c>
      <c r="BZ263" s="10">
        <f t="shared" si="1069"/>
        <v>-1110.9476102051246</v>
      </c>
      <c r="CA263" s="10">
        <f t="shared" si="1070"/>
        <v>-2372.239760499309</v>
      </c>
      <c r="CB263" s="10">
        <f t="shared" si="1071"/>
        <v>-740.6578402523596</v>
      </c>
      <c r="CD263" s="10">
        <f>CD$5+SUM(CE$5:CE262)+SUM(R$5:R262)-SUM(S$5:S262)-SUM(CF$5:CF262)</f>
        <v>188754.99208862532</v>
      </c>
      <c r="CE263" s="10">
        <f t="shared" si="1072"/>
        <v>1261.2921502941842</v>
      </c>
      <c r="CF263" s="10">
        <f t="shared" si="1073"/>
        <v>3112.8976007516685</v>
      </c>
      <c r="CG263" s="10">
        <f t="shared" si="1074"/>
        <v>1851.6054504574843</v>
      </c>
      <c r="CI263" s="44">
        <v>0.005</v>
      </c>
      <c r="CJ263" s="10">
        <f t="shared" si="1075"/>
        <v>-15.56</v>
      </c>
      <c r="CK263" s="4">
        <f t="shared" si="1076"/>
        <v>0</v>
      </c>
      <c r="CM263" s="10">
        <f t="shared" si="1077"/>
        <v>-429350.4363532111</v>
      </c>
      <c r="CN263" s="4">
        <f t="shared" si="1078"/>
        <v>-2468.586113015817</v>
      </c>
    </row>
    <row r="264" spans="1:92" ht="15.75">
      <c r="A264" s="36"/>
      <c r="B264" s="37">
        <v>45139</v>
      </c>
      <c r="C264" s="77">
        <f aca="true" t="shared" si="1079" ref="C264:C267">VLOOKUP(B264,Kursy,C$2)</f>
        <v>4.6521</v>
      </c>
      <c r="D264" s="79">
        <f>C264*(1+Podsumowanie!E$11)</f>
        <v>4.791663</v>
      </c>
      <c r="E264" s="34">
        <f aca="true" t="shared" si="1080" ref="E264:E267">Z264</f>
        <v>-661.269760526534</v>
      </c>
      <c r="F264" s="7">
        <f aca="true" t="shared" si="1081" ref="F264:F267">E264*D264</f>
        <v>-3168.581844533853</v>
      </c>
      <c r="G264" s="7">
        <f aca="true" t="shared" si="1082" ref="G264:G267">U264</f>
        <v>-1458.4873260406764</v>
      </c>
      <c r="H264" s="7">
        <f aca="true" t="shared" si="1083" ref="H264:H267">G264-F264</f>
        <v>1710.0945184931768</v>
      </c>
      <c r="I264" s="32"/>
      <c r="K264" s="4">
        <f>IF(B264&lt;Podsumowanie!E$7,0,K263+1)</f>
        <v>194</v>
      </c>
      <c r="L264" s="100">
        <f aca="true" t="shared" si="1084" ref="L264:L267">VLOOKUP(B264,Oproc,C$2)</f>
        <v>0.015531</v>
      </c>
      <c r="M264" s="38">
        <f>L264+Podsumowanie!E$6</f>
        <v>0.027531</v>
      </c>
      <c r="N264" s="101">
        <f>MAX(Podsumowanie!E$4+SUM(AA$5:AA263)-SUM(X$5:X264)+SUM(W$5:W264),0)</f>
        <v>92101.98186813582</v>
      </c>
      <c r="O264" s="102">
        <f>MAX(Podsumowanie!E$2+SUM(V$5:V263)-SUM(S$5:S264)+SUM(R$5:R264),0)</f>
        <v>203138.84178061422</v>
      </c>
      <c r="P264" s="39">
        <f t="shared" si="401"/>
        <v>360</v>
      </c>
      <c r="Q264" s="40" t="str">
        <f>IF(AND(K264&gt;0,K264&lt;=Podsumowanie!E$9),"tak","nie")</f>
        <v>nie</v>
      </c>
      <c r="R264" s="41"/>
      <c r="S264" s="42"/>
      <c r="T264" s="88">
        <f aca="true" t="shared" si="1085" ref="T264:T267">IF(AB264=1,-O264*M264/12,0)</f>
        <v>-466.0512877551742</v>
      </c>
      <c r="U264" s="89">
        <f>IF(Q264="tak",T264,IF(P264-SUM(AB$5:AB264)+1&gt;0,IF(Podsumowanie!E$7&lt;B264,IF(SUM(AB$5:AB264)-Podsumowanie!E$9+1&gt;0,PMT(M264/12,P264+1-SUM(AB$5:AB264),O264),T264),0),0))</f>
        <v>-1458.4873260406764</v>
      </c>
      <c r="V264" s="89">
        <f aca="true" t="shared" si="1086" ref="V264:V267">U264-T264</f>
        <v>-992.4360382855023</v>
      </c>
      <c r="W264" s="90" t="str">
        <f>IF(R264&gt;0,R264/(C264*(1-Podsumowanie!E$11))," ")</f>
        <v xml:space="preserve"> </v>
      </c>
      <c r="X264" s="90">
        <f aca="true" t="shared" si="1087" ref="X264:X267">IF(S264&gt;0,S264/D264,0)</f>
        <v>0</v>
      </c>
      <c r="Y264" s="91">
        <f aca="true" t="shared" si="1088" ref="Y264:Y267">IF(AB264=1,-N264*M264/12,0)</f>
        <v>-211.3049719009706</v>
      </c>
      <c r="Z264" s="90">
        <f>IF(P264-SUM(AB$5:AB264)+1&gt;0,IF(Podsumowanie!E$7&lt;B264,IF(SUM(AB$5:AB264)-Podsumowanie!E$9+1&gt;0,PMT(M264/12,P264+1-SUM(AB$5:AB264),N264),Y264),0),0)</f>
        <v>-661.269760526534</v>
      </c>
      <c r="AA264" s="90">
        <f aca="true" t="shared" si="1089" ref="AA264:AA267">Z264-Y264</f>
        <v>-449.9647886255634</v>
      </c>
      <c r="AB264" s="8">
        <f>IF(AND(Podsumowanie!E$7&lt;B264,SUM(AB$5:AB263)&lt;P263),1," ")</f>
        <v>1</v>
      </c>
      <c r="AD264" s="51">
        <f>IF(OR(B264&lt;Podsumowanie!E$12,Podsumowanie!E$12=""),-F264+S264,0)</f>
        <v>0</v>
      </c>
      <c r="AE264" s="51">
        <f aca="true" t="shared" si="1090" ref="AE264:AE267">IF(AD264=0,-E264+X264,0)</f>
        <v>661.269760526534</v>
      </c>
      <c r="AG264" s="10">
        <f>Podsumowanie!E$4-SUM(AI$5:AI263)+SUM(W$42:W264)-SUM(X$42:X264)</f>
        <v>84364.22813555253</v>
      </c>
      <c r="AH264" s="10">
        <f aca="true" t="shared" si="1091" ref="AH264:AH267">IF(AB264=1,ROUND(AG264*M264/12,2),0)</f>
        <v>193.55</v>
      </c>
      <c r="AI264" s="10">
        <f aca="true" t="shared" si="1092" ref="AI264:AI267">IF(Q264="tak",0,IF(AB264=1,ROUND(AG264/(P264-K264+1),2),0))</f>
        <v>505.18</v>
      </c>
      <c r="AJ264" s="10">
        <f aca="true" t="shared" si="1093" ref="AJ264:AJ267">AI264+AH264</f>
        <v>698.73</v>
      </c>
      <c r="AK264" s="10">
        <f aca="true" t="shared" si="1094" ref="AK264:AK267">ROUND(AJ264*D264,2)</f>
        <v>3348.08</v>
      </c>
      <c r="AL264" s="10">
        <f>Podsumowanie!E$2-SUM(AN$5:AN263)+SUM(R$42:R264)-SUM(S$42:S264)</f>
        <v>186072.22999999972</v>
      </c>
      <c r="AM264" s="10">
        <f aca="true" t="shared" si="1095" ref="AM264:AM267">IF(AB264=1,ROUND(AL264*M264/12,2),0)</f>
        <v>426.9</v>
      </c>
      <c r="AN264" s="10">
        <f aca="true" t="shared" si="1096" ref="AN264:AN267">IF(Q264="tak",0,IF(AB264=1,ROUND(AL264/(P264-K264+1),2),0))</f>
        <v>1114.2</v>
      </c>
      <c r="AO264" s="10">
        <f aca="true" t="shared" si="1097" ref="AO264:AO267">AN264+AM264</f>
        <v>1541.1</v>
      </c>
      <c r="AP264" s="10">
        <f aca="true" t="shared" si="1098" ref="AP264:AP267">AK264-AO264</f>
        <v>1806.98</v>
      </c>
      <c r="AR264" s="43">
        <f aca="true" t="shared" si="1099" ref="AR264:AR267">B264</f>
        <v>45139</v>
      </c>
      <c r="AS264" s="11">
        <f>AS$5+SUM(AV$5:AV263)-SUM(X$5:X264)+SUM(W$5:W264)</f>
        <v>89338.92241209169</v>
      </c>
      <c r="AT264" s="10">
        <f aca="true" t="shared" si="1100" ref="AT264:AT267">IF(AB264=1,-AS264*M264/12,0)</f>
        <v>-204.96582274394135</v>
      </c>
      <c r="AU264" s="10">
        <f>IF(AB264=1,IF(Q264="tak",AT264,PMT(M264/12,P264+1-SUM(AB$5:AB264),AS264)),0)</f>
        <v>-641.4316677107375</v>
      </c>
      <c r="AV264" s="10">
        <f aca="true" t="shared" si="1101" ref="AV264:AV267">AU264-AT264</f>
        <v>-436.4658449667962</v>
      </c>
      <c r="AW264" s="10">
        <f aca="true" t="shared" si="1102" ref="AW264:AW267">AU264*C264</f>
        <v>-2984.0042613571222</v>
      </c>
      <c r="AY264" s="11">
        <f>AY$5+SUM(BA$5:BA263)+SUM(W$5:W263)-SUM(X$5:X263)</f>
        <v>81833.12719148558</v>
      </c>
      <c r="AZ264" s="11">
        <f aca="true" t="shared" si="1103" ref="AZ264:AZ267">IF(AB264=1,-AS264*M264/12,0)</f>
        <v>-204.96582274394135</v>
      </c>
      <c r="BA264" s="11">
        <f aca="true" t="shared" si="1104" ref="BA264:BA267">IF(AB264=1,IF(Q264="tak",0,ROUND(-AY264/(P264-K264+1),2)),0)</f>
        <v>-490.02</v>
      </c>
      <c r="BB264" s="11">
        <f aca="true" t="shared" si="1105" ref="BB264:BB267">BA264+AZ264</f>
        <v>-694.9858227439413</v>
      </c>
      <c r="BC264" s="11">
        <f aca="true" t="shared" si="1106" ref="BC264:BC267">BB264*C264</f>
        <v>-3233.143545987089</v>
      </c>
      <c r="BE264" s="172">
        <f aca="true" t="shared" si="1107" ref="BE264:BE267">VLOOKUP(B264,Oproc,5)</f>
        <v>0.0672</v>
      </c>
      <c r="BF264" s="44">
        <f>BE264+Podsumowanie!$E$6</f>
        <v>0.07919999999999999</v>
      </c>
      <c r="BG264" s="11">
        <f>BG$5+SUM(BH$5:BH263)+SUM(R$5:R263)-SUM(S$5:S263)</f>
        <v>248073.9685858369</v>
      </c>
      <c r="BH264" s="10">
        <f aca="true" t="shared" si="1108" ref="BH264:BH267">IF(BJ264&lt;0,BJ264-BI264,0)</f>
        <v>-810.6597201181314</v>
      </c>
      <c r="BI264" s="10">
        <f aca="true" t="shared" si="1109" ref="BI264:BI267">IF(BJ264&lt;0,-BG264*BF264/12,0)</f>
        <v>-1637.2881926665234</v>
      </c>
      <c r="BJ264" s="10">
        <f>IF(U264&lt;0,PMT(BF264/12,Podsumowanie!E$8-SUM(AB$5:AB264)+1,BG264),0)</f>
        <v>-2447.947912784655</v>
      </c>
      <c r="BL264" s="11">
        <f>BL$5+SUM(BN$5:BN263)+SUM(R$5:R263)-SUM(S$5:S263)</f>
        <v>186072.42339832927</v>
      </c>
      <c r="BM264" s="11">
        <f aca="true" t="shared" si="1110" ref="BM264:BM267">IF(AB264=1,-BF264*BL264/12,0)</f>
        <v>-1228.0779944289732</v>
      </c>
      <c r="BN264" s="11">
        <f aca="true" t="shared" si="1111" ref="BN264:BN267">IF(AB264=1,-BL264/(P264-K264+1),0)</f>
        <v>-1114.2061281337083</v>
      </c>
      <c r="BO264" s="11">
        <f aca="true" t="shared" si="1112" ref="BO264:BO267">BN264+BM264</f>
        <v>-2342.2841225626817</v>
      </c>
      <c r="BQ264" s="44">
        <f aca="true" t="shared" si="1113" ref="BQ264:BQ267">BE264+$BQ$4</f>
        <v>0.0793</v>
      </c>
      <c r="BR264" s="11">
        <f>BR$5+SUM(BS$5:BS263)+SUM(R$5:R263)-SUM(S$5:S263)+SUM(BV$5:BV263)</f>
        <v>223611.23441069882</v>
      </c>
      <c r="BS264" s="10">
        <f aca="true" t="shared" si="1114" ref="BS264:BS267">IF(BU264&lt;0,BU264-BT264,0)</f>
        <v>-730.1233642658804</v>
      </c>
      <c r="BT264" s="10">
        <f aca="true" t="shared" si="1115" ref="BT264:BT267">IF(BU264&lt;0,-BR264*BQ264/12,0)</f>
        <v>-1477.6975740640346</v>
      </c>
      <c r="BU264" s="10">
        <f>IF(U264&lt;0,PMT(BQ264/12,Podsumowanie!E$8-SUM(AB$5:AB264)+1,BR264),0)</f>
        <v>-2207.820938329915</v>
      </c>
      <c r="BV264" s="10">
        <f aca="true" t="shared" si="1116" ref="BV264:BV267">F264-BU264</f>
        <v>-960.7609062039382</v>
      </c>
      <c r="BX264" s="11">
        <f>BX$5+SUM(BZ$5:BZ263)+SUM(R$5:R263)-SUM(S$5:S263)+SUM(CB$5,CB263)</f>
        <v>185473.00240860306</v>
      </c>
      <c r="BY264" s="10">
        <f aca="true" t="shared" si="1117" ref="BY264:BY267">IF(AB264=1,-BQ264*BX264/12,0)</f>
        <v>-1225.6674242501851</v>
      </c>
      <c r="BZ264" s="10">
        <f aca="true" t="shared" si="1118" ref="BZ264:BZ267">IF(AB264=1,-BX264/(P264-K264+1),0)</f>
        <v>-1110.6167808898388</v>
      </c>
      <c r="CA264" s="10">
        <f aca="true" t="shared" si="1119" ref="CA264:CA267">BZ264+BY264</f>
        <v>-2336.284205140024</v>
      </c>
      <c r="CB264" s="10">
        <f aca="true" t="shared" si="1120" ref="CB264:CB267">$F264-CA264</f>
        <v>-832.2976393938293</v>
      </c>
      <c r="CD264" s="10">
        <f>CD$5+SUM(CE$5:CE263)+SUM(R$5:R263)-SUM(S$5:S263)-SUM(CF$5:CF263)</f>
        <v>186903.38663816784</v>
      </c>
      <c r="CE264" s="10">
        <f aca="true" t="shared" si="1121" ref="CE264:CE267">IF(AB264=1,BQ264*BX264/12,0)</f>
        <v>1225.6674242501851</v>
      </c>
      <c r="CF264" s="10">
        <f aca="true" t="shared" si="1122" ref="CF264:CF267">-F264</f>
        <v>3168.581844533853</v>
      </c>
      <c r="CG264" s="10">
        <f aca="true" t="shared" si="1123" ref="CG264:CG267">CF264-CE264</f>
        <v>1942.914420283668</v>
      </c>
      <c r="CI264" s="44">
        <v>0.007</v>
      </c>
      <c r="CJ264" s="10">
        <f aca="true" t="shared" si="1124" ref="CJ264:CJ267">ROUND(CI264*(F264-S264),2)</f>
        <v>-22.18</v>
      </c>
      <c r="CK264" s="4">
        <f aca="true" t="shared" si="1125" ref="CK264:CK267">ROUND(R264*CI264,2)</f>
        <v>0</v>
      </c>
      <c r="CM264" s="10">
        <f aca="true" t="shared" si="1126" ref="CM264:CM267">F264+S264+CM263</f>
        <v>-432519.01819774497</v>
      </c>
      <c r="CN264" s="4">
        <f aca="true" t="shared" si="1127" ref="CN264:CN267">CM264*BE264/12</f>
        <v>-2422.1065019073717</v>
      </c>
    </row>
    <row r="265" spans="1:92" ht="15.75">
      <c r="A265" s="36"/>
      <c r="B265" s="37">
        <v>45170</v>
      </c>
      <c r="C265" s="77">
        <f t="shared" si="1079"/>
        <v>4.7883</v>
      </c>
      <c r="D265" s="79">
        <f>C265*(1+Podsumowanie!E$11)</f>
        <v>4.9319489999999995</v>
      </c>
      <c r="E265" s="34">
        <f t="shared" si="1080"/>
        <v>-665.6046539445599</v>
      </c>
      <c r="F265" s="7">
        <f t="shared" si="1081"/>
        <v>-3282.728207417218</v>
      </c>
      <c r="G265" s="7">
        <f t="shared" si="1082"/>
        <v>-1468.0483062749663</v>
      </c>
      <c r="H265" s="7">
        <f t="shared" si="1083"/>
        <v>1814.6799011422518</v>
      </c>
      <c r="I265" s="32"/>
      <c r="K265" s="4">
        <f>IF(B265&lt;Podsumowanie!E$7,0,K264+1)</f>
        <v>195</v>
      </c>
      <c r="L265" s="100">
        <f t="shared" si="1084"/>
        <v>0.016531</v>
      </c>
      <c r="M265" s="38">
        <f>L265+Podsumowanie!E$6</f>
        <v>0.028531</v>
      </c>
      <c r="N265" s="101">
        <f>MAX(Podsumowanie!E$4+SUM(AA$5:AA264)-SUM(X$5:X265)+SUM(W$5:W265),0)</f>
        <v>91652.01707951025</v>
      </c>
      <c r="O265" s="102">
        <f>MAX(Podsumowanie!E$2+SUM(V$5:V264)-SUM(S$5:S265)+SUM(R$5:R265),0)</f>
        <v>202146.40574232873</v>
      </c>
      <c r="P265" s="39">
        <f t="shared" si="401"/>
        <v>360</v>
      </c>
      <c r="Q265" s="40" t="str">
        <f>IF(AND(K265&gt;0,K265&lt;=Podsumowanie!E$9),"tak","nie")</f>
        <v>nie</v>
      </c>
      <c r="R265" s="41"/>
      <c r="S265" s="42"/>
      <c r="T265" s="88">
        <f t="shared" si="1085"/>
        <v>-480.6199251861985</v>
      </c>
      <c r="U265" s="89">
        <f>IF(Q265="tak",T265,IF(P265-SUM(AB$5:AB265)+1&gt;0,IF(Podsumowanie!E$7&lt;B265,IF(SUM(AB$5:AB265)-Podsumowanie!E$9+1&gt;0,PMT(M265/12,P265+1-SUM(AB$5:AB265),O265),T265),0),0))</f>
        <v>-1468.0483062749663</v>
      </c>
      <c r="V265" s="89">
        <f t="shared" si="1086"/>
        <v>-987.4283810887678</v>
      </c>
      <c r="W265" s="90" t="str">
        <f>IF(R265&gt;0,R265/(C265*(1-Podsumowanie!E$11))," ")</f>
        <v xml:space="preserve"> </v>
      </c>
      <c r="X265" s="90">
        <f t="shared" si="1087"/>
        <v>0</v>
      </c>
      <c r="Y265" s="91">
        <f t="shared" si="1088"/>
        <v>-217.91030827462558</v>
      </c>
      <c r="Z265" s="90">
        <f>IF(P265-SUM(AB$5:AB265)+1&gt;0,IF(Podsumowanie!E$7&lt;B265,IF(SUM(AB$5:AB265)-Podsumowanie!E$9+1&gt;0,PMT(M265/12,P265+1-SUM(AB$5:AB265),N265),Y265),0),0)</f>
        <v>-665.6046539445599</v>
      </c>
      <c r="AA265" s="90">
        <f t="shared" si="1089"/>
        <v>-447.69434566993436</v>
      </c>
      <c r="AB265" s="8">
        <f>IF(AND(Podsumowanie!E$7&lt;B265,SUM(AB$5:AB264)&lt;P264),1," ")</f>
        <v>1</v>
      </c>
      <c r="AD265" s="51">
        <f>IF(OR(B265&lt;Podsumowanie!E$12,Podsumowanie!E$12=""),-F265+S265,0)</f>
        <v>0</v>
      </c>
      <c r="AE265" s="51">
        <f t="shared" si="1090"/>
        <v>665.6046539445599</v>
      </c>
      <c r="AG265" s="10">
        <f>Podsumowanie!E$4-SUM(AI$5:AI264)+SUM(W$42:W265)-SUM(X$42:X265)</f>
        <v>83859.04813555254</v>
      </c>
      <c r="AH265" s="10">
        <f t="shared" si="1091"/>
        <v>199.38</v>
      </c>
      <c r="AI265" s="10">
        <f t="shared" si="1092"/>
        <v>505.17</v>
      </c>
      <c r="AJ265" s="10">
        <f t="shared" si="1093"/>
        <v>704.55</v>
      </c>
      <c r="AK265" s="10">
        <f t="shared" si="1094"/>
        <v>3474.8</v>
      </c>
      <c r="AL265" s="10">
        <f>Podsumowanie!E$2-SUM(AN$5:AN264)+SUM(R$42:R265)-SUM(S$42:S265)</f>
        <v>184958.0299999997</v>
      </c>
      <c r="AM265" s="10">
        <f t="shared" si="1095"/>
        <v>439.75</v>
      </c>
      <c r="AN265" s="10">
        <f t="shared" si="1096"/>
        <v>1114.21</v>
      </c>
      <c r="AO265" s="10">
        <f t="shared" si="1097"/>
        <v>1553.96</v>
      </c>
      <c r="AP265" s="10">
        <f t="shared" si="1098"/>
        <v>1920.8400000000001</v>
      </c>
      <c r="AR265" s="43">
        <f t="shared" si="1099"/>
        <v>45170</v>
      </c>
      <c r="AS265" s="11">
        <f>AS$5+SUM(AV$5:AV264)-SUM(X$5:X265)+SUM(W$5:W265)</f>
        <v>88902.4565671249</v>
      </c>
      <c r="AT265" s="10">
        <f t="shared" si="1100"/>
        <v>-211.37299902638674</v>
      </c>
      <c r="AU265" s="10">
        <f>IF(AB265=1,IF(Q265="tak",AT265,PMT(M265/12,P265+1-SUM(AB$5:AB265),AS265)),0)</f>
        <v>-645.6365143262228</v>
      </c>
      <c r="AV265" s="10">
        <f t="shared" si="1101"/>
        <v>-434.26351529983606</v>
      </c>
      <c r="AW265" s="10">
        <f t="shared" si="1102"/>
        <v>-3091.5013215482522</v>
      </c>
      <c r="AY265" s="11">
        <f>AY$5+SUM(BA$5:BA264)+SUM(W$5:W264)-SUM(X$5:X264)</f>
        <v>81343.10719148557</v>
      </c>
      <c r="AZ265" s="11">
        <f t="shared" si="1103"/>
        <v>-211.37299902638674</v>
      </c>
      <c r="BA265" s="11">
        <f t="shared" si="1104"/>
        <v>-490.02</v>
      </c>
      <c r="BB265" s="11">
        <f t="shared" si="1105"/>
        <v>-701.3929990263867</v>
      </c>
      <c r="BC265" s="11">
        <f t="shared" si="1106"/>
        <v>-3358.480097238047</v>
      </c>
      <c r="BE265" s="172">
        <f t="shared" si="1107"/>
        <v>0.0672</v>
      </c>
      <c r="BF265" s="44">
        <f>BE265+Podsumowanie!$E$6</f>
        <v>0.07919999999999999</v>
      </c>
      <c r="BG265" s="11">
        <f>BG$5+SUM(BH$5:BH264)+SUM(R$5:R264)-SUM(S$5:S264)</f>
        <v>247263.30886571878</v>
      </c>
      <c r="BH265" s="10">
        <f t="shared" si="1108"/>
        <v>-816.0100742709112</v>
      </c>
      <c r="BI265" s="10">
        <f t="shared" si="1109"/>
        <v>-1631.9378385137436</v>
      </c>
      <c r="BJ265" s="10">
        <f>IF(U265&lt;0,PMT(BF265/12,Podsumowanie!E$8-SUM(AB$5:AB265)+1,BG265),0)</f>
        <v>-2447.947912784655</v>
      </c>
      <c r="BL265" s="11">
        <f>BL$5+SUM(BN$5:BN264)+SUM(R$5:R264)-SUM(S$5:S264)</f>
        <v>184958.21727019554</v>
      </c>
      <c r="BM265" s="11">
        <f t="shared" si="1110"/>
        <v>-1220.7242339832903</v>
      </c>
      <c r="BN265" s="11">
        <f t="shared" si="1111"/>
        <v>-1114.206128133708</v>
      </c>
      <c r="BO265" s="11">
        <f t="shared" si="1112"/>
        <v>-2334.9303621169984</v>
      </c>
      <c r="BQ265" s="44">
        <f t="shared" si="1113"/>
        <v>0.0793</v>
      </c>
      <c r="BR265" s="11">
        <f>BR$5+SUM(BS$5:BS264)+SUM(R$5:R264)-SUM(S$5:S264)+SUM(BV$5:BV264)</f>
        <v>221920.35014022898</v>
      </c>
      <c r="BS265" s="10">
        <f t="shared" si="1114"/>
        <v>-731.7801632302505</v>
      </c>
      <c r="BT265" s="10">
        <f t="shared" si="1115"/>
        <v>-1466.5236471766796</v>
      </c>
      <c r="BU265" s="10">
        <f>IF(U265&lt;0,PMT(BQ265/12,Podsumowanie!E$8-SUM(AB$5:AB265)+1,BR265),0)</f>
        <v>-2198.30381040693</v>
      </c>
      <c r="BV265" s="10">
        <f t="shared" si="1116"/>
        <v>-1084.424397010288</v>
      </c>
      <c r="BX265" s="11">
        <f>BX$5+SUM(BZ$5:BZ264)+SUM(R$5:R264)-SUM(S$5:S264)+SUM(CB$5,CB264)</f>
        <v>184270.74582857176</v>
      </c>
      <c r="BY265" s="10">
        <f t="shared" si="1117"/>
        <v>-1217.722512017145</v>
      </c>
      <c r="BZ265" s="10">
        <f t="shared" si="1118"/>
        <v>-1110.0647339070588</v>
      </c>
      <c r="CA265" s="10">
        <f t="shared" si="1119"/>
        <v>-2327.7872459242035</v>
      </c>
      <c r="CB265" s="10">
        <f t="shared" si="1120"/>
        <v>-954.9409614930146</v>
      </c>
      <c r="CD265" s="10">
        <f>CD$5+SUM(CE$5:CE264)+SUM(R$5:R264)-SUM(S$5:S264)-SUM(CF$5:CF264)</f>
        <v>184960.47221788415</v>
      </c>
      <c r="CE265" s="10">
        <f t="shared" si="1121"/>
        <v>1217.722512017145</v>
      </c>
      <c r="CF265" s="10">
        <f t="shared" si="1122"/>
        <v>3282.728207417218</v>
      </c>
      <c r="CG265" s="10">
        <f t="shared" si="1123"/>
        <v>2065.005695400073</v>
      </c>
      <c r="CI265" s="44">
        <v>0.007</v>
      </c>
      <c r="CJ265" s="10">
        <f t="shared" si="1124"/>
        <v>-22.98</v>
      </c>
      <c r="CK265" s="4">
        <f t="shared" si="1125"/>
        <v>0</v>
      </c>
      <c r="CM265" s="10">
        <f t="shared" si="1126"/>
        <v>-435801.7464051622</v>
      </c>
      <c r="CN265" s="4">
        <f t="shared" si="1127"/>
        <v>-2440.4897798689085</v>
      </c>
    </row>
    <row r="266" spans="1:92" ht="15.75">
      <c r="A266" s="36"/>
      <c r="B266" s="37">
        <v>45200</v>
      </c>
      <c r="C266" s="77">
        <f t="shared" si="1079"/>
        <v>4.7307</v>
      </c>
      <c r="D266" s="79">
        <f>C266*(1+Podsumowanie!E$11)</f>
        <v>4.872621</v>
      </c>
      <c r="E266" s="34">
        <f t="shared" si="1080"/>
        <v>-668.1994746925894</v>
      </c>
      <c r="F266" s="7">
        <f t="shared" si="1081"/>
        <v>-3255.8827925760797</v>
      </c>
      <c r="G266" s="7">
        <f t="shared" si="1082"/>
        <v>-1473.77140658933</v>
      </c>
      <c r="H266" s="7">
        <f t="shared" si="1083"/>
        <v>1782.1113859867498</v>
      </c>
      <c r="I266" s="32"/>
      <c r="K266" s="4">
        <f>IF(B266&lt;Podsumowanie!E$7,0,K265+1)</f>
        <v>196</v>
      </c>
      <c r="L266" s="100">
        <f t="shared" si="1084"/>
        <v>0.017131</v>
      </c>
      <c r="M266" s="38">
        <f>L266+Podsumowanie!E$6</f>
        <v>0.029131</v>
      </c>
      <c r="N266" s="101">
        <f>MAX(Podsumowanie!E$4+SUM(AA$5:AA265)-SUM(X$5:X266)+SUM(W$5:W266),0)</f>
        <v>91204.32273384031</v>
      </c>
      <c r="O266" s="102">
        <f>MAX(Podsumowanie!E$2+SUM(V$5:V265)-SUM(S$5:S266)+SUM(R$5:R266),0)</f>
        <v>201158.97736123996</v>
      </c>
      <c r="P266" s="39">
        <f t="shared" si="401"/>
        <v>360</v>
      </c>
      <c r="Q266" s="40" t="str">
        <f>IF(AND(K266&gt;0,K266&lt;=Podsumowanie!E$9),"tak","nie")</f>
        <v>nie</v>
      </c>
      <c r="R266" s="41"/>
      <c r="S266" s="42"/>
      <c r="T266" s="88">
        <f t="shared" si="1085"/>
        <v>-488.33018079252344</v>
      </c>
      <c r="U266" s="89">
        <f>IF(Q266="tak",T266,IF(P266-SUM(AB$5:AB266)+1&gt;0,IF(Podsumowanie!E$7&lt;B266,IF(SUM(AB$5:AB266)-Podsumowanie!E$9+1&gt;0,PMT(M266/12,P266+1-SUM(AB$5:AB266),O266),T266),0),0))</f>
        <v>-1473.77140658933</v>
      </c>
      <c r="V266" s="89">
        <f t="shared" si="1086"/>
        <v>-985.4412257968065</v>
      </c>
      <c r="W266" s="90" t="str">
        <f>IF(R266&gt;0,R266/(C266*(1-Podsumowanie!E$11))," ")</f>
        <v xml:space="preserve"> </v>
      </c>
      <c r="X266" s="90">
        <f t="shared" si="1087"/>
        <v>0</v>
      </c>
      <c r="Y266" s="91">
        <f t="shared" si="1088"/>
        <v>-221.40609379662519</v>
      </c>
      <c r="Z266" s="90">
        <f>IF(P266-SUM(AB$5:AB266)+1&gt;0,IF(Podsumowanie!E$7&lt;B266,IF(SUM(AB$5:AB266)-Podsumowanie!E$9+1&gt;0,PMT(M266/12,P266+1-SUM(AB$5:AB266),N266),Y266),0),0)</f>
        <v>-668.1994746925894</v>
      </c>
      <c r="AA266" s="90">
        <f t="shared" si="1089"/>
        <v>-446.7933808959642</v>
      </c>
      <c r="AB266" s="8">
        <f>IF(AND(Podsumowanie!E$7&lt;B266,SUM(AB$5:AB265)&lt;P265),1," ")</f>
        <v>1</v>
      </c>
      <c r="AD266" s="51">
        <f>IF(OR(B266&lt;Podsumowanie!E$12,Podsumowanie!E$12=""),-F266+S266,0)</f>
        <v>0</v>
      </c>
      <c r="AE266" s="51">
        <f t="shared" si="1090"/>
        <v>668.1994746925894</v>
      </c>
      <c r="AG266" s="10">
        <f>Podsumowanie!E$4-SUM(AI$5:AI265)+SUM(W$42:W266)-SUM(X$42:X266)</f>
        <v>83353.87813555254</v>
      </c>
      <c r="AH266" s="10">
        <f t="shared" si="1091"/>
        <v>202.35</v>
      </c>
      <c r="AI266" s="10">
        <f t="shared" si="1092"/>
        <v>505.18</v>
      </c>
      <c r="AJ266" s="10">
        <f t="shared" si="1093"/>
        <v>707.53</v>
      </c>
      <c r="AK266" s="10">
        <f t="shared" si="1094"/>
        <v>3447.53</v>
      </c>
      <c r="AL266" s="10">
        <f>Podsumowanie!E$2-SUM(AN$5:AN265)+SUM(R$42:R266)-SUM(S$42:S266)</f>
        <v>183843.81999999972</v>
      </c>
      <c r="AM266" s="10">
        <f t="shared" si="1095"/>
        <v>446.3</v>
      </c>
      <c r="AN266" s="10">
        <f t="shared" si="1096"/>
        <v>1114.2</v>
      </c>
      <c r="AO266" s="10">
        <f t="shared" si="1097"/>
        <v>1560.5</v>
      </c>
      <c r="AP266" s="10">
        <f t="shared" si="1098"/>
        <v>1887.0300000000002</v>
      </c>
      <c r="AR266" s="43">
        <f t="shared" si="1099"/>
        <v>45200</v>
      </c>
      <c r="AS266" s="11">
        <f>AS$5+SUM(AV$5:AV265)-SUM(X$5:X266)+SUM(W$5:W266)</f>
        <v>88468.19305182506</v>
      </c>
      <c r="AT266" s="10">
        <f t="shared" si="1100"/>
        <v>-214.76391098272632</v>
      </c>
      <c r="AU266" s="10">
        <f>IF(AB266=1,IF(Q266="tak",AT266,PMT(M266/12,P266+1-SUM(AB$5:AB266),AS266)),0)</f>
        <v>-648.1534904518115</v>
      </c>
      <c r="AV266" s="10">
        <f t="shared" si="1101"/>
        <v>-433.3895794690852</v>
      </c>
      <c r="AW266" s="10">
        <f t="shared" si="1102"/>
        <v>-3066.2197172803844</v>
      </c>
      <c r="AY266" s="11">
        <f>AY$5+SUM(BA$5:BA265)+SUM(W$5:W265)-SUM(X$5:X265)</f>
        <v>80853.08719148557</v>
      </c>
      <c r="AZ266" s="11">
        <f t="shared" si="1103"/>
        <v>-214.76391098272632</v>
      </c>
      <c r="BA266" s="11">
        <f t="shared" si="1104"/>
        <v>-490.02</v>
      </c>
      <c r="BB266" s="11">
        <f t="shared" si="1105"/>
        <v>-704.7839109827263</v>
      </c>
      <c r="BC266" s="11">
        <f t="shared" si="1106"/>
        <v>-3334.1212476859832</v>
      </c>
      <c r="BE266" s="172">
        <f t="shared" si="1107"/>
        <v>0.0578</v>
      </c>
      <c r="BF266" s="44">
        <f>BE266+Podsumowanie!$E$6</f>
        <v>0.0698</v>
      </c>
      <c r="BG266" s="11">
        <f>BG$5+SUM(BH$5:BH265)+SUM(R$5:R265)-SUM(S$5:S265)</f>
        <v>246447.29879144786</v>
      </c>
      <c r="BH266" s="10">
        <f t="shared" si="1108"/>
        <v>-885.4575020952122</v>
      </c>
      <c r="BI266" s="10">
        <f t="shared" si="1109"/>
        <v>-1433.5017879702552</v>
      </c>
      <c r="BJ266" s="10">
        <f>IF(U266&lt;0,PMT(BF266/12,Podsumowanie!E$8-SUM(AB$5:AB266)+1,BG266),0)</f>
        <v>-2318.9592900654675</v>
      </c>
      <c r="BL266" s="11">
        <f>BL$5+SUM(BN$5:BN265)+SUM(R$5:R265)-SUM(S$5:S265)</f>
        <v>183844.01114206185</v>
      </c>
      <c r="BM266" s="11">
        <f t="shared" si="1110"/>
        <v>-1069.3593314763264</v>
      </c>
      <c r="BN266" s="11">
        <f t="shared" si="1111"/>
        <v>-1114.2061281337083</v>
      </c>
      <c r="BO266" s="11">
        <f t="shared" si="1112"/>
        <v>-2183.565459610035</v>
      </c>
      <c r="BQ266" s="44">
        <f t="shared" si="1113"/>
        <v>0.06989999999999999</v>
      </c>
      <c r="BR266" s="11">
        <f>BR$5+SUM(BS$5:BS265)+SUM(R$5:R265)-SUM(S$5:S265)+SUM(BV$5:BV265)</f>
        <v>220104.14557998843</v>
      </c>
      <c r="BS266" s="10">
        <f t="shared" si="1114"/>
        <v>-790.1832221508935</v>
      </c>
      <c r="BT266" s="10">
        <f t="shared" si="1115"/>
        <v>-1282.1066480034324</v>
      </c>
      <c r="BU266" s="10">
        <f>IF(U266&lt;0,PMT(BQ266/12,Podsumowanie!E$8-SUM(AB$5:AB266)+1,BR266),0)</f>
        <v>-2072.289870154326</v>
      </c>
      <c r="BV266" s="10">
        <f t="shared" si="1116"/>
        <v>-1183.5929224217539</v>
      </c>
      <c r="BX266" s="11">
        <f>BX$5+SUM(BZ$5:BZ265)+SUM(R$5:R265)-SUM(S$5:S265)+SUM(CB$5,CB265)</f>
        <v>183038.03777256553</v>
      </c>
      <c r="BY266" s="10">
        <f t="shared" si="1117"/>
        <v>-1066.196570025194</v>
      </c>
      <c r="BZ266" s="10">
        <f t="shared" si="1118"/>
        <v>-1109.3214410458518</v>
      </c>
      <c r="CA266" s="10">
        <f t="shared" si="1119"/>
        <v>-2175.5180110710457</v>
      </c>
      <c r="CB266" s="10">
        <f t="shared" si="1120"/>
        <v>-1080.364781505034</v>
      </c>
      <c r="CD266" s="10">
        <f>CD$5+SUM(CE$5:CE265)+SUM(R$5:R265)-SUM(S$5:S265)-SUM(CF$5:CF265)</f>
        <v>182895.46652248403</v>
      </c>
      <c r="CE266" s="10">
        <f t="shared" si="1121"/>
        <v>1066.196570025194</v>
      </c>
      <c r="CF266" s="10">
        <f t="shared" si="1122"/>
        <v>3255.8827925760797</v>
      </c>
      <c r="CG266" s="10">
        <f t="shared" si="1123"/>
        <v>2189.6862225508858</v>
      </c>
      <c r="CI266" s="44">
        <v>0.011</v>
      </c>
      <c r="CJ266" s="10">
        <f t="shared" si="1124"/>
        <v>-35.81</v>
      </c>
      <c r="CK266" s="4">
        <f t="shared" si="1125"/>
        <v>0</v>
      </c>
      <c r="CM266" s="10">
        <f t="shared" si="1126"/>
        <v>-439057.6291977383</v>
      </c>
      <c r="CN266" s="4">
        <f t="shared" si="1127"/>
        <v>-2114.7942473024395</v>
      </c>
    </row>
    <row r="267" spans="1:92" ht="15.75">
      <c r="A267" s="36"/>
      <c r="B267" s="37">
        <v>45231</v>
      </c>
      <c r="C267" s="77">
        <f t="shared" si="1079"/>
        <v>4.5707</v>
      </c>
      <c r="D267" s="79">
        <f>C267*(1+Podsumowanie!E$11)</f>
        <v>4.707821000000001</v>
      </c>
      <c r="E267" s="34">
        <f t="shared" si="1080"/>
        <v>-668.1994746925894</v>
      </c>
      <c r="F267" s="7">
        <f t="shared" si="1081"/>
        <v>-3145.7635191467416</v>
      </c>
      <c r="G267" s="7">
        <f t="shared" si="1082"/>
        <v>-1473.7714065893301</v>
      </c>
      <c r="H267" s="7">
        <f t="shared" si="1083"/>
        <v>1671.9921125574115</v>
      </c>
      <c r="I267" s="32"/>
      <c r="K267" s="4">
        <f>IF(B267&lt;Podsumowanie!E$7,0,K266+1)</f>
        <v>197</v>
      </c>
      <c r="L267" s="100">
        <f t="shared" si="1084"/>
        <v>0.017131</v>
      </c>
      <c r="M267" s="38">
        <f>L267+Podsumowanie!E$6</f>
        <v>0.029131</v>
      </c>
      <c r="N267" s="101">
        <f>MAX(Podsumowanie!E$4+SUM(AA$5:AA266)-SUM(X$5:X267)+SUM(W$5:W267),0)</f>
        <v>90757.52935294434</v>
      </c>
      <c r="O267" s="102">
        <f>MAX(Podsumowanie!E$2+SUM(V$5:V266)-SUM(S$5:S267)+SUM(R$5:R267),0)</f>
        <v>200173.53613544317</v>
      </c>
      <c r="P267" s="39">
        <f t="shared" si="401"/>
        <v>360</v>
      </c>
      <c r="Q267" s="40" t="str">
        <f>IF(AND(K267&gt;0,K267&lt;=Podsumowanie!E$9),"tak","nie")</f>
        <v>nie</v>
      </c>
      <c r="R267" s="41"/>
      <c r="S267" s="42"/>
      <c r="T267" s="88">
        <f t="shared" si="1085"/>
        <v>-485.9379400967996</v>
      </c>
      <c r="U267" s="89">
        <f>IF(Q267="tak",T267,IF(P267-SUM(AB$5:AB267)+1&gt;0,IF(Podsumowanie!E$7&lt;B267,IF(SUM(AB$5:AB267)-Podsumowanie!E$9+1&gt;0,PMT(M267/12,P267+1-SUM(AB$5:AB267),O267),T267),0),0))</f>
        <v>-1473.7714065893301</v>
      </c>
      <c r="V267" s="89">
        <f t="shared" si="1086"/>
        <v>-987.8334664925305</v>
      </c>
      <c r="W267" s="90" t="str">
        <f>IF(R267&gt;0,R267/(C267*(1-Podsumowanie!E$11))," ")</f>
        <v xml:space="preserve"> </v>
      </c>
      <c r="X267" s="90">
        <f t="shared" si="1087"/>
        <v>0</v>
      </c>
      <c r="Y267" s="91">
        <f t="shared" si="1088"/>
        <v>-220.3214656317185</v>
      </c>
      <c r="Z267" s="90">
        <f>IF(P267-SUM(AB$5:AB267)+1&gt;0,IF(Podsumowanie!E$7&lt;B267,IF(SUM(AB$5:AB267)-Podsumowanie!E$9+1&gt;0,PMT(M267/12,P267+1-SUM(AB$5:AB267),N267),Y267),0),0)</f>
        <v>-668.1994746925894</v>
      </c>
      <c r="AA267" s="90">
        <f t="shared" si="1089"/>
        <v>-447.8780090608709</v>
      </c>
      <c r="AB267" s="8">
        <f>IF(AND(Podsumowanie!E$7&lt;B267,SUM(AB$5:AB266)&lt;P266),1," ")</f>
        <v>1</v>
      </c>
      <c r="AD267" s="51">
        <f>IF(OR(B267&lt;Podsumowanie!E$12,Podsumowanie!E$12=""),-F267+S267,0)</f>
        <v>0</v>
      </c>
      <c r="AE267" s="51">
        <f t="shared" si="1090"/>
        <v>668.1994746925894</v>
      </c>
      <c r="AG267" s="10">
        <f>Podsumowanie!E$4-SUM(AI$5:AI266)+SUM(W$42:W267)-SUM(X$42:X267)</f>
        <v>82848.69813555255</v>
      </c>
      <c r="AH267" s="10">
        <f t="shared" si="1091"/>
        <v>201.12</v>
      </c>
      <c r="AI267" s="10">
        <f t="shared" si="1092"/>
        <v>505.17</v>
      </c>
      <c r="AJ267" s="10">
        <f t="shared" si="1093"/>
        <v>706.29</v>
      </c>
      <c r="AK267" s="10">
        <f t="shared" si="1094"/>
        <v>3325.09</v>
      </c>
      <c r="AL267" s="10">
        <f>Podsumowanie!E$2-SUM(AN$5:AN266)+SUM(R$42:R267)-SUM(S$42:S267)</f>
        <v>182729.6199999997</v>
      </c>
      <c r="AM267" s="10">
        <f t="shared" si="1095"/>
        <v>443.59</v>
      </c>
      <c r="AN267" s="10">
        <f t="shared" si="1096"/>
        <v>1114.21</v>
      </c>
      <c r="AO267" s="10">
        <f t="shared" si="1097"/>
        <v>1557.8</v>
      </c>
      <c r="AP267" s="10">
        <f t="shared" si="1098"/>
        <v>1767.2900000000002</v>
      </c>
      <c r="AR267" s="43">
        <f t="shared" si="1099"/>
        <v>45231</v>
      </c>
      <c r="AS267" s="11">
        <f>AS$5+SUM(AV$5:AV266)-SUM(X$5:X267)+SUM(W$5:W267)</f>
        <v>88034.80347235597</v>
      </c>
      <c r="AT267" s="10">
        <f t="shared" si="1100"/>
        <v>-213.71182166276682</v>
      </c>
      <c r="AU267" s="10">
        <f>IF(AB267=1,IF(Q267="tak",AT267,PMT(M267/12,P267+1-SUM(AB$5:AB267),AS267)),0)</f>
        <v>-648.1534904518115</v>
      </c>
      <c r="AV267" s="10">
        <f t="shared" si="1101"/>
        <v>-434.4416687890447</v>
      </c>
      <c r="AW267" s="10">
        <f t="shared" si="1102"/>
        <v>-2962.5151588080953</v>
      </c>
      <c r="AY267" s="11">
        <f>AY$5+SUM(BA$5:BA266)+SUM(W$5:W266)-SUM(X$5:X266)</f>
        <v>80363.06719148556</v>
      </c>
      <c r="AZ267" s="11">
        <f t="shared" si="1103"/>
        <v>-213.71182166276682</v>
      </c>
      <c r="BA267" s="11">
        <f t="shared" si="1104"/>
        <v>-490.02</v>
      </c>
      <c r="BB267" s="11">
        <f t="shared" si="1105"/>
        <v>-703.7318216627668</v>
      </c>
      <c r="BC267" s="11">
        <f t="shared" si="1106"/>
        <v>-3216.5470372740087</v>
      </c>
      <c r="BE267" s="172">
        <f t="shared" si="1107"/>
        <v>0.0565</v>
      </c>
      <c r="BF267" s="44">
        <f>BE267+Podsumowanie!$E$6</f>
        <v>0.0685</v>
      </c>
      <c r="BG267" s="11">
        <f>BG$5+SUM(BH$5:BH266)+SUM(R$5:R266)-SUM(S$5:S266)</f>
        <v>245561.84128935265</v>
      </c>
      <c r="BH267" s="10">
        <f t="shared" si="1108"/>
        <v>-899.7529479209529</v>
      </c>
      <c r="BI267" s="10">
        <f t="shared" si="1109"/>
        <v>-1401.7488440267216</v>
      </c>
      <c r="BJ267" s="10">
        <f>IF(U267&lt;0,PMT(BF267/12,Podsumowanie!E$8-SUM(AB$5:AB267)+1,BG267),0)</f>
        <v>-2301.5017919476745</v>
      </c>
      <c r="BL267" s="11">
        <f>BL$5+SUM(BN$5:BN266)+SUM(R$5:R266)-SUM(S$5:S266)</f>
        <v>182729.80501392815</v>
      </c>
      <c r="BM267" s="11">
        <f t="shared" si="1110"/>
        <v>-1043.0826369545066</v>
      </c>
      <c r="BN267" s="11">
        <f t="shared" si="1111"/>
        <v>-1114.2061281337083</v>
      </c>
      <c r="BO267" s="11">
        <f t="shared" si="1112"/>
        <v>-2157.288765088215</v>
      </c>
      <c r="BQ267" s="44">
        <f t="shared" si="1113"/>
        <v>0.0686</v>
      </c>
      <c r="BR267" s="11">
        <f>BR$5+SUM(BS$5:BS266)+SUM(R$5:R266)-SUM(S$5:S266)+SUM(BV$5:BV266)</f>
        <v>218130.36943541578</v>
      </c>
      <c r="BS267" s="10">
        <f t="shared" si="1114"/>
        <v>-798.6152821475462</v>
      </c>
      <c r="BT267" s="10">
        <f t="shared" si="1115"/>
        <v>-1246.9786119391267</v>
      </c>
      <c r="BU267" s="10">
        <f>IF(U267&lt;0,PMT(BQ267/12,Podsumowanie!E$8-SUM(AB$5:AB267)+1,BR267),0)</f>
        <v>-2045.593894086673</v>
      </c>
      <c r="BV267" s="10">
        <f t="shared" si="1116"/>
        <v>-1100.1696250600687</v>
      </c>
      <c r="BX267" s="11">
        <f>BX$5+SUM(BZ$5:BZ266)+SUM(R$5:R266)-SUM(S$5:S266)+SUM(CB$5,CB266)</f>
        <v>181803.29251150767</v>
      </c>
      <c r="BY267" s="10">
        <f t="shared" si="1117"/>
        <v>-1039.3088221907853</v>
      </c>
      <c r="BZ267" s="10">
        <f t="shared" si="1118"/>
        <v>-1108.5566616555345</v>
      </c>
      <c r="CA267" s="10">
        <f t="shared" si="1119"/>
        <v>-2147.86548384632</v>
      </c>
      <c r="CB267" s="10">
        <f t="shared" si="1120"/>
        <v>-997.8980353004217</v>
      </c>
      <c r="CD267" s="10">
        <f>CD$5+SUM(CE$5:CE266)+SUM(R$5:R266)-SUM(S$5:S266)-SUM(CF$5:CF266)</f>
        <v>180705.78029993322</v>
      </c>
      <c r="CE267" s="10">
        <f t="shared" si="1121"/>
        <v>1039.3088221907853</v>
      </c>
      <c r="CF267" s="10">
        <f t="shared" si="1122"/>
        <v>3145.7635191467416</v>
      </c>
      <c r="CG267" s="10">
        <f t="shared" si="1123"/>
        <v>2106.454696955956</v>
      </c>
      <c r="CI267" s="44">
        <v>0.008</v>
      </c>
      <c r="CJ267" s="10">
        <f t="shared" si="1124"/>
        <v>-25.17</v>
      </c>
      <c r="CK267" s="4">
        <f t="shared" si="1125"/>
        <v>0</v>
      </c>
      <c r="CM267" s="10">
        <f t="shared" si="1126"/>
        <v>-442203.3927168851</v>
      </c>
      <c r="CN267" s="4">
        <f t="shared" si="1127"/>
        <v>-2082.0409740420005</v>
      </c>
    </row>
    <row r="268" spans="1:92" ht="15.75">
      <c r="A268" s="36"/>
      <c r="B268" s="37">
        <v>45261</v>
      </c>
      <c r="C268" s="77">
        <f aca="true" t="shared" si="1128" ref="C268:C269">VLOOKUP(B268,Kursy,C$2)</f>
        <v>4.591</v>
      </c>
      <c r="D268" s="79">
        <f>C268*(1+Podsumowanie!E$11)</f>
        <v>4.7287300000000005</v>
      </c>
      <c r="E268" s="34">
        <f aca="true" t="shared" si="1129" ref="E268:E269">Z268</f>
        <v>-665.304633693859</v>
      </c>
      <c r="F268" s="7">
        <f aca="true" t="shared" si="1130" ref="F268:F269">E268*D268</f>
        <v>-3146.0459804871625</v>
      </c>
      <c r="G268" s="7">
        <f aca="true" t="shared" si="1131" ref="G268:G269">U268</f>
        <v>-1467.386585810304</v>
      </c>
      <c r="H268" s="7">
        <f aca="true" t="shared" si="1132" ref="H268:H269">G268-F268</f>
        <v>1678.6593946768585</v>
      </c>
      <c r="I268" s="32"/>
      <c r="K268" s="4">
        <f>IF(B268&lt;Podsumowanie!E$7,0,K267+1)</f>
        <v>198</v>
      </c>
      <c r="L268" s="100">
        <f aca="true" t="shared" si="1133" ref="L268:L269">VLOOKUP(B268,Oproc,C$2)</f>
        <v>0.016454</v>
      </c>
      <c r="M268" s="38">
        <f>L268+Podsumowanie!E$6</f>
        <v>0.028454</v>
      </c>
      <c r="N268" s="101">
        <f>MAX(Podsumowanie!E$4+SUM(AA$5:AA267)-SUM(X$5:X268)+SUM(W$5:W268),0)</f>
        <v>90309.65134388347</v>
      </c>
      <c r="O268" s="102">
        <f>MAX(Podsumowanie!E$2+SUM(V$5:V267)-SUM(S$5:S268)+SUM(R$5:R268),0)</f>
        <v>199185.70266895063</v>
      </c>
      <c r="P268" s="39">
        <f t="shared" si="401"/>
        <v>360</v>
      </c>
      <c r="Q268" s="40" t="str">
        <f>IF(AND(K268&gt;0,K268&lt;=Podsumowanie!E$9),"tak","nie")</f>
        <v>nie</v>
      </c>
      <c r="R268" s="41"/>
      <c r="S268" s="42"/>
      <c r="T268" s="88">
        <f aca="true" t="shared" si="1134" ref="T268:T269">IF(AB268=1,-O268*M268/12,0)</f>
        <v>-472.30249864519345</v>
      </c>
      <c r="U268" s="89">
        <f>IF(Q268="tak",T268,IF(P268-SUM(AB$5:AB268)+1&gt;0,IF(Podsumowanie!E$7&lt;B268,IF(SUM(AB$5:AB268)-Podsumowanie!E$9+1&gt;0,PMT(M268/12,P268+1-SUM(AB$5:AB268),O268),T268),0),0))</f>
        <v>-1467.386585810304</v>
      </c>
      <c r="V268" s="89">
        <f aca="true" t="shared" si="1135" ref="V268:V269">U268-T268</f>
        <v>-995.0840871651105</v>
      </c>
      <c r="W268" s="90" t="str">
        <f>IF(R268&gt;0,R268/(C268*(1-Podsumowanie!E$11))," ")</f>
        <v xml:space="preserve"> </v>
      </c>
      <c r="X268" s="90">
        <f aca="true" t="shared" si="1136" ref="X268:X269">IF(S268&gt;0,S268/D268,0)</f>
        <v>0</v>
      </c>
      <c r="Y268" s="91">
        <f aca="true" t="shared" si="1137" ref="Y268:Y269">IF(AB268=1,-N268*M268/12,0)</f>
        <v>-214.13923494490504</v>
      </c>
      <c r="Z268" s="90">
        <f>IF(P268-SUM(AB$5:AB268)+1&gt;0,IF(Podsumowanie!E$7&lt;B268,IF(SUM(AB$5:AB268)-Podsumowanie!E$9+1&gt;0,PMT(M268/12,P268+1-SUM(AB$5:AB268),N268),Y268),0),0)</f>
        <v>-665.304633693859</v>
      </c>
      <c r="AA268" s="90">
        <f aca="true" t="shared" si="1138" ref="AA268:AA269">Z268-Y268</f>
        <v>-451.165398748954</v>
      </c>
      <c r="AB268" s="8">
        <f>IF(AND(Podsumowanie!E$7&lt;B268,SUM(AB$5:AB267)&lt;P267),1," ")</f>
        <v>1</v>
      </c>
      <c r="AD268" s="51">
        <f>IF(OR(B268&lt;Podsumowanie!E$12,Podsumowanie!E$12=""),-F268+S268,0)</f>
        <v>0</v>
      </c>
      <c r="AE268" s="51">
        <f aca="true" t="shared" si="1139" ref="AE268:AE269">IF(AD268=0,-E268+X268,0)</f>
        <v>665.304633693859</v>
      </c>
      <c r="AG268" s="10">
        <f>Podsumowanie!E$4-SUM(AI$5:AI267)+SUM(W$42:W268)-SUM(X$42:X268)</f>
        <v>82343.52813555255</v>
      </c>
      <c r="AH268" s="10">
        <f aca="true" t="shared" si="1140" ref="AH268:AH269">IF(AB268=1,ROUND(AG268*M268/12,2),0)</f>
        <v>195.25</v>
      </c>
      <c r="AI268" s="10">
        <f aca="true" t="shared" si="1141" ref="AI268:AI269">IF(Q268="tak",0,IF(AB268=1,ROUND(AG268/(P268-K268+1),2),0))</f>
        <v>505.18</v>
      </c>
      <c r="AJ268" s="10">
        <f aca="true" t="shared" si="1142" ref="AJ268:AJ269">AI268+AH268</f>
        <v>700.4300000000001</v>
      </c>
      <c r="AK268" s="10">
        <f aca="true" t="shared" si="1143" ref="AK268:AK269">ROUND(AJ268*D268,2)</f>
        <v>3312.14</v>
      </c>
      <c r="AL268" s="10">
        <f>Podsumowanie!E$2-SUM(AN$5:AN267)+SUM(R$42:R268)-SUM(S$42:S268)</f>
        <v>181615.4099999997</v>
      </c>
      <c r="AM268" s="10">
        <f aca="true" t="shared" si="1144" ref="AM268:AM269">IF(AB268=1,ROUND(AL268*M268/12,2),0)</f>
        <v>430.64</v>
      </c>
      <c r="AN268" s="10">
        <f aca="true" t="shared" si="1145" ref="AN268:AN269">IF(Q268="tak",0,IF(AB268=1,ROUND(AL268/(P268-K268+1),2),0))</f>
        <v>1114.2</v>
      </c>
      <c r="AO268" s="10">
        <f aca="true" t="shared" si="1146" ref="AO268:AO269">AN268+AM268</f>
        <v>1544.8400000000001</v>
      </c>
      <c r="AP268" s="10">
        <f aca="true" t="shared" si="1147" ref="AP268:AP269">AK268-AO268</f>
        <v>1767.2999999999997</v>
      </c>
      <c r="AR268" s="43">
        <f aca="true" t="shared" si="1148" ref="AR268:AR269">B268</f>
        <v>45261</v>
      </c>
      <c r="AS268" s="11">
        <f>AS$5+SUM(AV$5:AV267)-SUM(X$5:X268)+SUM(W$5:W268)</f>
        <v>87600.36180356692</v>
      </c>
      <c r="AT268" s="10">
        <f aca="true" t="shared" si="1149" ref="AT268:AT269">IF(AB268=1,-AS268*M268/12,0)</f>
        <v>-207.71505789655774</v>
      </c>
      <c r="AU268" s="10">
        <f>IF(AB268=1,IF(Q268="tak",AT268,PMT(M268/12,P268+1-SUM(AB$5:AB268),AS268)),0)</f>
        <v>-645.3454946830428</v>
      </c>
      <c r="AV268" s="10">
        <f aca="true" t="shared" si="1150" ref="AV268:AV269">AU268-AT268</f>
        <v>-437.6304367864851</v>
      </c>
      <c r="AW268" s="10">
        <f aca="true" t="shared" si="1151" ref="AW268:AW269">AU268*C268</f>
        <v>-2962.7811660898496</v>
      </c>
      <c r="AY268" s="11">
        <f>AY$5+SUM(BA$5:BA267)+SUM(W$5:W267)-SUM(X$5:X267)</f>
        <v>79873.04719148556</v>
      </c>
      <c r="AZ268" s="11">
        <f aca="true" t="shared" si="1152" ref="AZ268:AZ269">IF(AB268=1,-AS268*M268/12,0)</f>
        <v>-207.71505789655774</v>
      </c>
      <c r="BA268" s="11">
        <f aca="true" t="shared" si="1153" ref="BA268:BA269">IF(AB268=1,IF(Q268="tak",0,ROUND(-AY268/(P268-K268+1),2)),0)</f>
        <v>-490.02</v>
      </c>
      <c r="BB268" s="11">
        <f aca="true" t="shared" si="1154" ref="BB268:BB269">BA268+AZ268</f>
        <v>-697.7350578965577</v>
      </c>
      <c r="BC268" s="11">
        <f aca="true" t="shared" si="1155" ref="BC268:BC269">BB268*C268</f>
        <v>-3203.3016508030964</v>
      </c>
      <c r="BE268" s="172">
        <f aca="true" t="shared" si="1156" ref="BE268:BE269">VLOOKUP(B268,Oproc,5)</f>
        <v>0.0583</v>
      </c>
      <c r="BF268" s="44">
        <f>BE268+Podsumowanie!$E$6</f>
        <v>0.0703</v>
      </c>
      <c r="BG268" s="11">
        <f>BG$5+SUM(BH$5:BH267)+SUM(R$5:R267)-SUM(S$5:S267)</f>
        <v>244662.0883414317</v>
      </c>
      <c r="BH268" s="10">
        <f aca="true" t="shared" si="1157" ref="BH268:BH269">IF(BJ268&lt;0,BJ268-BI268,0)</f>
        <v>-892.2605852812858</v>
      </c>
      <c r="BI268" s="10">
        <f aca="true" t="shared" si="1158" ref="BI268:BI269">IF(BJ268&lt;0,-BG268*BF268/12,0)</f>
        <v>-1433.312067533554</v>
      </c>
      <c r="BJ268" s="10">
        <f>IF(U268&lt;0,PMT(BF268/12,Podsumowanie!E$8-SUM(AB$5:AB268)+1,BG268),0)</f>
        <v>-2325.57265281484</v>
      </c>
      <c r="BL268" s="11">
        <f>BL$5+SUM(BN$5:BN267)+SUM(R$5:R267)-SUM(S$5:S267)</f>
        <v>181615.59888579446</v>
      </c>
      <c r="BM268" s="11">
        <f aca="true" t="shared" si="1159" ref="BM268:BM269">IF(AB268=1,-BF268*BL268/12,0)</f>
        <v>-1063.964716805946</v>
      </c>
      <c r="BN268" s="11">
        <f aca="true" t="shared" si="1160" ref="BN268:BN269">IF(AB268=1,-BL268/(P268-K268+1),0)</f>
        <v>-1114.2061281337083</v>
      </c>
      <c r="BO268" s="11">
        <f aca="true" t="shared" si="1161" ref="BO268:BO269">BN268+BM268</f>
        <v>-2178.170844939654</v>
      </c>
      <c r="BQ268" s="44">
        <f aca="true" t="shared" si="1162" ref="BQ268:BQ269">BE268+$BQ$4</f>
        <v>0.07039999999999999</v>
      </c>
      <c r="BR268" s="11">
        <f>BR$5+SUM(BS$5:BS267)+SUM(R$5:R267)-SUM(S$5:S267)+SUM(BV$5:BV267)</f>
        <v>216231.5845282082</v>
      </c>
      <c r="BS268" s="10">
        <f aca="true" t="shared" si="1163" ref="BS268:BS269">IF(BU268&lt;0,BU268-BT268,0)</f>
        <v>-787.9605796971791</v>
      </c>
      <c r="BT268" s="10">
        <f aca="true" t="shared" si="1164" ref="BT268:BT269">IF(BU268&lt;0,-BR268*BQ268/12,0)</f>
        <v>-1268.5586292321545</v>
      </c>
      <c r="BU268" s="10">
        <f>IF(U268&lt;0,PMT(BQ268/12,Podsumowanie!E$8-SUM(AB$5:AB268)+1,BR268),0)</f>
        <v>-2056.5192089293337</v>
      </c>
      <c r="BV268" s="10">
        <f aca="true" t="shared" si="1165" ref="BV268:BV269">F268-BU268</f>
        <v>-1089.5267715578289</v>
      </c>
      <c r="BX268" s="11">
        <f>BX$5+SUM(BZ$5:BZ267)+SUM(R$5:R267)-SUM(S$5:S267)+SUM(CB$5,CB267)</f>
        <v>180777.2025960567</v>
      </c>
      <c r="BY268" s="10">
        <f aca="true" t="shared" si="1166" ref="BY268:BY269">IF(AB268=1,-BQ268*BX268/12,0)</f>
        <v>-1060.5595885635325</v>
      </c>
      <c r="BZ268" s="10">
        <f aca="true" t="shared" si="1167" ref="BZ268:BZ269">IF(AB268=1,-BX268/(P268-K268+1),0)</f>
        <v>-1109.0625926138448</v>
      </c>
      <c r="CA268" s="10">
        <f aca="true" t="shared" si="1168" ref="CA268:CA269">BZ268+BY268</f>
        <v>-2169.6221811773776</v>
      </c>
      <c r="CB268" s="10">
        <f aca="true" t="shared" si="1169" ref="CB268:CB269">$F268-CA268</f>
        <v>-976.423799309785</v>
      </c>
      <c r="CD268" s="10">
        <f>CD$5+SUM(CE$5:CE267)+SUM(R$5:R267)-SUM(S$5:S267)-SUM(CF$5:CF267)</f>
        <v>178599.3256029772</v>
      </c>
      <c r="CE268" s="10">
        <f aca="true" t="shared" si="1170" ref="CE268:CE269">IF(AB268=1,BQ268*BX268/12,0)</f>
        <v>1060.5595885635325</v>
      </c>
      <c r="CF268" s="10">
        <f aca="true" t="shared" si="1171" ref="CF268:CF269">-F268</f>
        <v>3146.0459804871625</v>
      </c>
      <c r="CG268" s="10">
        <f aca="true" t="shared" si="1172" ref="CG268:CG269">CF268-CE268</f>
        <v>2085.48639192363</v>
      </c>
      <c r="CI268" s="44">
        <v>0.001</v>
      </c>
      <c r="CJ268" s="10">
        <f aca="true" t="shared" si="1173" ref="CJ268:CJ269">ROUND(CI268*(F268-S268),2)</f>
        <v>-3.15</v>
      </c>
      <c r="CK268" s="4">
        <f aca="true" t="shared" si="1174" ref="CK268:CK269">ROUND(R268*CI268,2)</f>
        <v>0</v>
      </c>
      <c r="CM268" s="10">
        <f aca="true" t="shared" si="1175" ref="CM268:CM269">F268+S268+CM267</f>
        <v>-445349.4386973722</v>
      </c>
      <c r="CN268" s="4">
        <f aca="true" t="shared" si="1176" ref="CN268:CN269">CM268*BE268/12</f>
        <v>-2163.656023004733</v>
      </c>
    </row>
    <row r="269" spans="1:92" ht="15.75">
      <c r="A269" s="36">
        <v>2024</v>
      </c>
      <c r="B269" s="37">
        <v>45292</v>
      </c>
      <c r="C269" s="77">
        <f t="shared" si="1128"/>
        <v>4.6621</v>
      </c>
      <c r="D269" s="79">
        <f>C269*(1+Podsumowanie!E$11)</f>
        <v>4.801963</v>
      </c>
      <c r="E269" s="34">
        <f t="shared" si="1129"/>
        <v>-665.304633693859</v>
      </c>
      <c r="F269" s="7">
        <f t="shared" si="1130"/>
        <v>-3194.7682347264645</v>
      </c>
      <c r="G269" s="7">
        <f t="shared" si="1131"/>
        <v>-1467.3865858103043</v>
      </c>
      <c r="H269" s="7">
        <f t="shared" si="1132"/>
        <v>1727.3816489161602</v>
      </c>
      <c r="I269" s="32"/>
      <c r="K269" s="4">
        <f>IF(B269&lt;Podsumowanie!E$7,0,K268+1)</f>
        <v>199</v>
      </c>
      <c r="L269" s="100">
        <f t="shared" si="1133"/>
        <v>0.016454</v>
      </c>
      <c r="M269" s="38">
        <f>L269+Podsumowanie!E$6</f>
        <v>0.028454</v>
      </c>
      <c r="N269" s="101">
        <f>MAX(Podsumowanie!E$4+SUM(AA$5:AA268)-SUM(X$5:X269)+SUM(W$5:W269),0)</f>
        <v>89858.48594513451</v>
      </c>
      <c r="O269" s="102">
        <f>MAX(Podsumowanie!E$2+SUM(V$5:V268)-SUM(S$5:S269)+SUM(R$5:R269),0)</f>
        <v>198190.61858178553</v>
      </c>
      <c r="P269" s="39">
        <f t="shared" si="401"/>
        <v>360</v>
      </c>
      <c r="Q269" s="40" t="str">
        <f>IF(AND(K269&gt;0,K269&lt;=Podsumowanie!E$9),"tak","nie")</f>
        <v>nie</v>
      </c>
      <c r="R269" s="41"/>
      <c r="S269" s="42"/>
      <c r="T269" s="88">
        <f t="shared" si="1134"/>
        <v>-469.9429884271771</v>
      </c>
      <c r="U269" s="89">
        <f>IF(Q269="tak",T269,IF(P269-SUM(AB$5:AB269)+1&gt;0,IF(Podsumowanie!E$7&lt;B269,IF(SUM(AB$5:AB269)-Podsumowanie!E$9+1&gt;0,PMT(M269/12,P269+1-SUM(AB$5:AB269),O269),T269),0),0))</f>
        <v>-1467.3865858103043</v>
      </c>
      <c r="V269" s="89">
        <f t="shared" si="1135"/>
        <v>-997.4435973831271</v>
      </c>
      <c r="W269" s="90" t="str">
        <f>IF(R269&gt;0,R269/(C269*(1-Podsumowanie!E$11))," ")</f>
        <v xml:space="preserve"> </v>
      </c>
      <c r="X269" s="90">
        <f t="shared" si="1136"/>
        <v>0</v>
      </c>
      <c r="Y269" s="91">
        <f t="shared" si="1137"/>
        <v>-213.06944659023813</v>
      </c>
      <c r="Z269" s="90">
        <f>IF(P269-SUM(AB$5:AB269)+1&gt;0,IF(Podsumowanie!E$7&lt;B269,IF(SUM(AB$5:AB269)-Podsumowanie!E$9+1&gt;0,PMT(M269/12,P269+1-SUM(AB$5:AB269),N269),Y269),0),0)</f>
        <v>-665.304633693859</v>
      </c>
      <c r="AA269" s="90">
        <f t="shared" si="1138"/>
        <v>-452.2351871036209</v>
      </c>
      <c r="AB269" s="8">
        <f>IF(AND(Podsumowanie!E$7&lt;B269,SUM(AB$5:AB268)&lt;P268),1," ")</f>
        <v>1</v>
      </c>
      <c r="AD269" s="51">
        <f>IF(OR(B269&lt;Podsumowanie!E$12,Podsumowanie!E$12=""),-F269+S269,0)</f>
        <v>0</v>
      </c>
      <c r="AE269" s="51">
        <f t="shared" si="1139"/>
        <v>665.304633693859</v>
      </c>
      <c r="AG269" s="10">
        <f>Podsumowanie!E$4-SUM(AI$5:AI268)+SUM(W$42:W269)-SUM(X$42:X269)</f>
        <v>81838.34813555256</v>
      </c>
      <c r="AH269" s="10">
        <f t="shared" si="1140"/>
        <v>194.05</v>
      </c>
      <c r="AI269" s="10">
        <f t="shared" si="1141"/>
        <v>505.17</v>
      </c>
      <c r="AJ269" s="10">
        <f t="shared" si="1142"/>
        <v>699.22</v>
      </c>
      <c r="AK269" s="10">
        <f t="shared" si="1143"/>
        <v>3357.63</v>
      </c>
      <c r="AL269" s="10">
        <f>Podsumowanie!E$2-SUM(AN$5:AN268)+SUM(R$42:R269)-SUM(S$42:S269)</f>
        <v>180501.2099999997</v>
      </c>
      <c r="AM269" s="10">
        <f t="shared" si="1144"/>
        <v>428</v>
      </c>
      <c r="AN269" s="10">
        <f t="shared" si="1145"/>
        <v>1114.21</v>
      </c>
      <c r="AO269" s="10">
        <f t="shared" si="1146"/>
        <v>1542.21</v>
      </c>
      <c r="AP269" s="10">
        <f t="shared" si="1147"/>
        <v>1815.42</v>
      </c>
      <c r="AR269" s="43">
        <f t="shared" si="1148"/>
        <v>45292</v>
      </c>
      <c r="AS269" s="11">
        <f>AS$5+SUM(AV$5:AV268)-SUM(X$5:X269)+SUM(W$5:W269)</f>
        <v>87162.73136678044</v>
      </c>
      <c r="AT269" s="10">
        <f t="shared" si="1149"/>
        <v>-206.67736319253086</v>
      </c>
      <c r="AU269" s="10">
        <f>IF(AB269=1,IF(Q269="tak",AT269,PMT(M269/12,P269+1-SUM(AB$5:AB269),AS269)),0)</f>
        <v>-645.3454946830431</v>
      </c>
      <c r="AV269" s="10">
        <f t="shared" si="1150"/>
        <v>-438.6681314905122</v>
      </c>
      <c r="AW269" s="10">
        <f t="shared" si="1151"/>
        <v>-3008.6652307618147</v>
      </c>
      <c r="AY269" s="11">
        <f>AY$5+SUM(BA$5:BA268)+SUM(W$5:W268)-SUM(X$5:X268)</f>
        <v>79383.02719148555</v>
      </c>
      <c r="AZ269" s="11">
        <f t="shared" si="1152"/>
        <v>-206.67736319253086</v>
      </c>
      <c r="BA269" s="11">
        <f t="shared" si="1153"/>
        <v>-490.02</v>
      </c>
      <c r="BB269" s="11">
        <f t="shared" si="1154"/>
        <v>-696.6973631925308</v>
      </c>
      <c r="BC269" s="11">
        <f t="shared" si="1155"/>
        <v>-3248.0727769398977</v>
      </c>
      <c r="BE269" s="172">
        <f t="shared" si="1156"/>
        <v>0.0583</v>
      </c>
      <c r="BF269" s="44">
        <f>BE269+Podsumowanie!$E$6</f>
        <v>0.0703</v>
      </c>
      <c r="BG269" s="11">
        <f>BG$5+SUM(BH$5:BH268)+SUM(R$5:R268)-SUM(S$5:S268)</f>
        <v>243769.8277561504</v>
      </c>
      <c r="BH269" s="10">
        <f t="shared" si="1157"/>
        <v>-897.4877452100584</v>
      </c>
      <c r="BI269" s="10">
        <f t="shared" si="1158"/>
        <v>-1428.084907604781</v>
      </c>
      <c r="BJ269" s="10">
        <f>IF(U269&lt;0,PMT(BF269/12,Podsumowanie!E$8-SUM(AB$5:AB269)+1,BG269),0)</f>
        <v>-2325.5726528148393</v>
      </c>
      <c r="BL269" s="11">
        <f>BL$5+SUM(BN$5:BN268)+SUM(R$5:R268)-SUM(S$5:S268)</f>
        <v>180501.39275766077</v>
      </c>
      <c r="BM269" s="11">
        <f t="shared" si="1159"/>
        <v>-1057.4373259052961</v>
      </c>
      <c r="BN269" s="11">
        <f t="shared" si="1160"/>
        <v>-1114.2061281337085</v>
      </c>
      <c r="BO269" s="11">
        <f t="shared" si="1161"/>
        <v>-2171.6434540390046</v>
      </c>
      <c r="BQ269" s="44">
        <f t="shared" si="1162"/>
        <v>0.07039999999999999</v>
      </c>
      <c r="BR269" s="11">
        <f>BR$5+SUM(BS$5:BS268)+SUM(R$5:R268)-SUM(S$5:S268)+SUM(BV$5:BV268)</f>
        <v>214354.09717695316</v>
      </c>
      <c r="BS269" s="10">
        <f t="shared" si="1163"/>
        <v>-788.5750837575476</v>
      </c>
      <c r="BT269" s="10">
        <f t="shared" si="1164"/>
        <v>-1257.5440367714584</v>
      </c>
      <c r="BU269" s="10">
        <f>IF(U269&lt;0,PMT(BQ269/12,Podsumowanie!E$8-SUM(AB$5:AB269)+1,BR269),0)</f>
        <v>-2046.119120529006</v>
      </c>
      <c r="BV269" s="10">
        <f t="shared" si="1165"/>
        <v>-1148.6491141974584</v>
      </c>
      <c r="BX269" s="11">
        <f>BX$5+SUM(BZ$5:BZ268)+SUM(R$5:R268)-SUM(S$5:S268)+SUM(CB$5,CB268)</f>
        <v>179689.61423943352</v>
      </c>
      <c r="BY269" s="10">
        <f t="shared" si="1166"/>
        <v>-1054.1790702046765</v>
      </c>
      <c r="BZ269" s="10">
        <f t="shared" si="1167"/>
        <v>-1109.195149626133</v>
      </c>
      <c r="CA269" s="10">
        <f t="shared" si="1168"/>
        <v>-2163.374219830809</v>
      </c>
      <c r="CB269" s="10">
        <f t="shared" si="1169"/>
        <v>-1031.3940148956553</v>
      </c>
      <c r="CD269" s="10">
        <f>CD$5+SUM(CE$5:CE268)+SUM(R$5:R268)-SUM(S$5:S268)-SUM(CF$5:CF268)</f>
        <v>176513.83921105356</v>
      </c>
      <c r="CE269" s="10">
        <f t="shared" si="1170"/>
        <v>1054.1790702046765</v>
      </c>
      <c r="CF269" s="10">
        <f t="shared" si="1171"/>
        <v>3194.7682347264645</v>
      </c>
      <c r="CG269" s="10">
        <f t="shared" si="1172"/>
        <v>2140.589164521788</v>
      </c>
      <c r="CI269" s="44">
        <v>0</v>
      </c>
      <c r="CJ269" s="10">
        <f t="shared" si="1173"/>
        <v>0</v>
      </c>
      <c r="CK269" s="4">
        <f t="shared" si="1174"/>
        <v>0</v>
      </c>
      <c r="CM269" s="10">
        <f t="shared" si="1175"/>
        <v>-448544.20693209866</v>
      </c>
      <c r="CN269" s="4">
        <f t="shared" si="1176"/>
        <v>-2179.177272011779</v>
      </c>
    </row>
    <row r="270" spans="2:92" ht="15.75">
      <c r="B270" s="37">
        <v>45323</v>
      </c>
      <c r="C270" s="77">
        <f aca="true" t="shared" si="1177" ref="C270:C272">VLOOKUP(B270,Kursy,C$2)</f>
        <v>4.5766</v>
      </c>
      <c r="D270" s="79">
        <f>C270*(1+Podsumowanie!E$11)</f>
        <v>4.713898</v>
      </c>
      <c r="E270" s="34">
        <f aca="true" t="shared" si="1178" ref="E270:E272">Z270</f>
        <v>-665.304633693859</v>
      </c>
      <c r="F270" s="7">
        <f aca="true" t="shared" si="1179" ref="F270:F272">E270*D270</f>
        <v>-3136.178182160215</v>
      </c>
      <c r="G270" s="7">
        <f aca="true" t="shared" si="1180" ref="G270:G272">U270</f>
        <v>-1467.3865858103043</v>
      </c>
      <c r="H270" s="7">
        <f aca="true" t="shared" si="1181" ref="H270:H272">G270-F270</f>
        <v>1668.7915963499106</v>
      </c>
      <c r="I270" s="32"/>
      <c r="K270" s="4">
        <f>IF(B270&lt;Podsumowanie!E$7,0,K269+1)</f>
        <v>200</v>
      </c>
      <c r="L270" s="100">
        <f aca="true" t="shared" si="1182" ref="L270:L272">VLOOKUP(B270,Oproc,C$2)</f>
        <v>0.016454</v>
      </c>
      <c r="M270" s="38">
        <f>L270+Podsumowanie!E$6</f>
        <v>0.028454</v>
      </c>
      <c r="N270" s="101">
        <f>MAX(Podsumowanie!E$4+SUM(AA$5:AA269)-SUM(X$5:X270)+SUM(W$5:W270),0)</f>
        <v>89406.25075803089</v>
      </c>
      <c r="O270" s="102">
        <f>MAX(Podsumowanie!E$2+SUM(V$5:V269)-SUM(S$5:S270)+SUM(R$5:R270),0)</f>
        <v>197193.1749844024</v>
      </c>
      <c r="P270" s="39">
        <f t="shared" si="401"/>
        <v>360</v>
      </c>
      <c r="Q270" s="40" t="str">
        <f>IF(AND(K270&gt;0,K270&lt;=Podsumowanie!E$9),"tak","nie")</f>
        <v>nie</v>
      </c>
      <c r="R270" s="41"/>
      <c r="S270" s="42"/>
      <c r="T270" s="88">
        <f aca="true" t="shared" si="1183" ref="T270:T272">IF(AB270=1,-O270*M270/12,0)</f>
        <v>-467.5778834171822</v>
      </c>
      <c r="U270" s="89">
        <f>IF(Q270="tak",T270,IF(P270-SUM(AB$5:AB270)+1&gt;0,IF(Podsumowanie!E$7&lt;B270,IF(SUM(AB$5:AB270)-Podsumowanie!E$9+1&gt;0,PMT(M270/12,P270+1-SUM(AB$5:AB270),O270),T270),0),0))</f>
        <v>-1467.3865858103043</v>
      </c>
      <c r="V270" s="89">
        <f aca="true" t="shared" si="1184" ref="V270:V272">U270-T270</f>
        <v>-999.8087023931221</v>
      </c>
      <c r="W270" s="90" t="str">
        <f>IF(R270&gt;0,R270/(C270*(1-Podsumowanie!E$11))," ")</f>
        <v xml:space="preserve"> </v>
      </c>
      <c r="X270" s="90">
        <f aca="true" t="shared" si="1185" ref="X270:X272">IF(S270&gt;0,S270/D270,0)</f>
        <v>0</v>
      </c>
      <c r="Y270" s="91">
        <f aca="true" t="shared" si="1186" ref="Y270:Y272">IF(AB270=1,-N270*M270/12,0)</f>
        <v>-211.99712158908426</v>
      </c>
      <c r="Z270" s="90">
        <f>IF(P270-SUM(AB$5:AB270)+1&gt;0,IF(Podsumowanie!E$7&lt;B270,IF(SUM(AB$5:AB270)-Podsumowanie!E$9+1&gt;0,PMT(M270/12,P270+1-SUM(AB$5:AB270),N270),Y270),0),0)</f>
        <v>-665.304633693859</v>
      </c>
      <c r="AA270" s="90">
        <f aca="true" t="shared" si="1187" ref="AA270:AA272">Z270-Y270</f>
        <v>-453.3075121047748</v>
      </c>
      <c r="AB270" s="8">
        <f>IF(AND(Podsumowanie!E$7&lt;B270,SUM(AB$5:AB269)&lt;P269),1," ")</f>
        <v>1</v>
      </c>
      <c r="AD270" s="51">
        <f>IF(OR(B270&lt;Podsumowanie!E$12,Podsumowanie!E$12=""),-F270+S270,0)</f>
        <v>0</v>
      </c>
      <c r="AE270" s="51">
        <f aca="true" t="shared" si="1188" ref="AE270:AE272">IF(AD270=0,-E270+X270,0)</f>
        <v>665.304633693859</v>
      </c>
      <c r="AG270" s="10">
        <f>Podsumowanie!E$4-SUM(AI$5:AI269)+SUM(W$42:W270)-SUM(X$42:X270)</f>
        <v>81333.17813555256</v>
      </c>
      <c r="AH270" s="10">
        <f aca="true" t="shared" si="1189" ref="AH270:AH272">IF(AB270=1,ROUND(AG270*M270/12,2),0)</f>
        <v>192.85</v>
      </c>
      <c r="AI270" s="10">
        <f aca="true" t="shared" si="1190" ref="AI270:AI272">IF(Q270="tak",0,IF(AB270=1,ROUND(AG270/(P270-K270+1),2),0))</f>
        <v>505.18</v>
      </c>
      <c r="AJ270" s="10">
        <f aca="true" t="shared" si="1191" ref="AJ270:AJ272">AI270+AH270</f>
        <v>698.03</v>
      </c>
      <c r="AK270" s="10">
        <f aca="true" t="shared" si="1192" ref="AK270:AK272">ROUND(AJ270*D270,2)</f>
        <v>3290.44</v>
      </c>
      <c r="AL270" s="10">
        <f>Podsumowanie!E$2-SUM(AN$5:AN269)+SUM(R$42:R270)-SUM(S$42:S270)</f>
        <v>179386.9999999997</v>
      </c>
      <c r="AM270" s="10">
        <f aca="true" t="shared" si="1193" ref="AM270:AM272">IF(AB270=1,ROUND(AL270*M270/12,2),0)</f>
        <v>425.36</v>
      </c>
      <c r="AN270" s="10">
        <f aca="true" t="shared" si="1194" ref="AN270:AN272">IF(Q270="tak",0,IF(AB270=1,ROUND(AL270/(P270-K270+1),2),0))</f>
        <v>1114.2</v>
      </c>
      <c r="AO270" s="10">
        <f aca="true" t="shared" si="1195" ref="AO270:AO272">AN270+AM270</f>
        <v>1539.56</v>
      </c>
      <c r="AP270" s="10">
        <f aca="true" t="shared" si="1196" ref="AP270:AP272">AK270-AO270</f>
        <v>1750.88</v>
      </c>
      <c r="AR270" s="43">
        <f aca="true" t="shared" si="1197" ref="AR270:AR272">B270</f>
        <v>45323</v>
      </c>
      <c r="AS270" s="11">
        <f>AS$5+SUM(AV$5:AV269)-SUM(X$5:X270)+SUM(W$5:W270)</f>
        <v>86724.06323528993</v>
      </c>
      <c r="AT270" s="10">
        <f aca="true" t="shared" si="1198" ref="AT270:AT272">IF(AB270=1,-AS270*M270/12,0)</f>
        <v>-205.63720794141162</v>
      </c>
      <c r="AU270" s="10">
        <f>IF(AB270=1,IF(Q270="tak",AT270,PMT(M270/12,P270+1-SUM(AB$5:AB270),AS270)),0)</f>
        <v>-645.3454946830428</v>
      </c>
      <c r="AV270" s="10">
        <f aca="true" t="shared" si="1199" ref="AV270:AV272">AU270-AT270</f>
        <v>-439.70828674163124</v>
      </c>
      <c r="AW270" s="10">
        <f aca="true" t="shared" si="1200" ref="AW270:AW272">AU270*C270</f>
        <v>-2953.4881909664136</v>
      </c>
      <c r="AY270" s="11">
        <f>AY$5+SUM(BA$5:BA269)+SUM(W$5:W269)-SUM(X$5:X269)</f>
        <v>78893.00719148555</v>
      </c>
      <c r="AZ270" s="11">
        <f aca="true" t="shared" si="1201" ref="AZ270:AZ272">IF(AB270=1,-AS270*M270/12,0)</f>
        <v>-205.63720794141162</v>
      </c>
      <c r="BA270" s="11">
        <f aca="true" t="shared" si="1202" ref="BA270:BA272">IF(AB270=1,IF(Q270="tak",0,ROUND(-AY270/(P270-K270+1),2)),0)</f>
        <v>-490.02</v>
      </c>
      <c r="BB270" s="11">
        <f aca="true" t="shared" si="1203" ref="BB270:BB272">BA270+AZ270</f>
        <v>-695.6572079414116</v>
      </c>
      <c r="BC270" s="11">
        <f aca="true" t="shared" si="1204" ref="BC270:BC272">BB270*C270</f>
        <v>-3183.7447778646642</v>
      </c>
      <c r="BE270" s="172">
        <f aca="true" t="shared" si="1205" ref="BE270:BE272">VLOOKUP(B270,Oproc,5)</f>
        <v>0.0583</v>
      </c>
      <c r="BF270" s="44">
        <f>BE270+Podsumowanie!$E$6</f>
        <v>0.0703</v>
      </c>
      <c r="BG270" s="11">
        <f>BG$5+SUM(BH$5:BH269)+SUM(R$5:R269)-SUM(S$5:S269)</f>
        <v>242872.34001094033</v>
      </c>
      <c r="BH270" s="10">
        <f aca="true" t="shared" si="1206" ref="BH270:BH272">IF(BJ270&lt;0,BJ270-BI270,0)</f>
        <v>-902.745527584081</v>
      </c>
      <c r="BI270" s="10">
        <f aca="true" t="shared" si="1207" ref="BI270:BI272">IF(BJ270&lt;0,-BG270*BF270/12,0)</f>
        <v>-1422.8271252307588</v>
      </c>
      <c r="BJ270" s="10">
        <f>IF(U270&lt;0,PMT(BF270/12,Podsumowanie!E$8-SUM(AB$5:AB270)+1,BG270),0)</f>
        <v>-2325.57265281484</v>
      </c>
      <c r="BL270" s="11">
        <f>BL$5+SUM(BN$5:BN269)+SUM(R$5:R269)-SUM(S$5:S269)</f>
        <v>179387.18662952704</v>
      </c>
      <c r="BM270" s="11">
        <f aca="true" t="shared" si="1208" ref="BM270:BM272">IF(AB270=1,-BF270*BL270/12,0)</f>
        <v>-1050.909935004646</v>
      </c>
      <c r="BN270" s="11">
        <f aca="true" t="shared" si="1209" ref="BN270:BN272">IF(AB270=1,-BL270/(P270-K270+1),0)</f>
        <v>-1114.2061281337083</v>
      </c>
      <c r="BO270" s="11">
        <f aca="true" t="shared" si="1210" ref="BO270:BO272">BN270+BM270</f>
        <v>-2165.1160631383545</v>
      </c>
      <c r="BQ270" s="44">
        <f aca="true" t="shared" si="1211" ref="BQ270:BQ272">BE270+$BQ$4</f>
        <v>0.07039999999999999</v>
      </c>
      <c r="BR270" s="11">
        <f>BR$5+SUM(BS$5:BS269)+SUM(R$5:R269)-SUM(S$5:S269)+SUM(BV$5:BV269)</f>
        <v>212416.87297899814</v>
      </c>
      <c r="BS270" s="10">
        <f aca="true" t="shared" si="1212" ref="BS270:BS272">IF(BU270&lt;0,BU270-BT270,0)</f>
        <v>-788.935205689974</v>
      </c>
      <c r="BT270" s="10">
        <f aca="true" t="shared" si="1213" ref="BT270:BT272">IF(BU270&lt;0,-BR270*BQ270/12,0)</f>
        <v>-1246.1789881434556</v>
      </c>
      <c r="BU270" s="10">
        <f>IF(U270&lt;0,PMT(BQ270/12,Podsumowanie!E$8-SUM(AB$5:AB270)+1,BR270),0)</f>
        <v>-2035.1141938334297</v>
      </c>
      <c r="BV270" s="10">
        <f aca="true" t="shared" si="1214" ref="BV270:BV272">F270-BU270</f>
        <v>-1101.0639883267852</v>
      </c>
      <c r="BX270" s="11">
        <f>BX$5+SUM(BZ$5:BZ269)+SUM(R$5:R269)-SUM(S$5:S269)+SUM(CB$5,CB269)</f>
        <v>178525.4488742215</v>
      </c>
      <c r="BY270" s="10">
        <f aca="true" t="shared" si="1215" ref="BY270:BY272">IF(AB270=1,-BQ270*BX270/12,0)</f>
        <v>-1047.3493000620995</v>
      </c>
      <c r="BZ270" s="10">
        <f aca="true" t="shared" si="1216" ref="BZ270:BZ272">IF(AB270=1,-BX270/(P270-K270+1),0)</f>
        <v>-1108.8537197156616</v>
      </c>
      <c r="CA270" s="10">
        <f aca="true" t="shared" si="1217" ref="CA270:CA272">BZ270+BY270</f>
        <v>-2156.2030197777613</v>
      </c>
      <c r="CB270" s="10">
        <f aca="true" t="shared" si="1218" ref="CB270:CB272">$F270-CA270</f>
        <v>-979.9751623824536</v>
      </c>
      <c r="CD270" s="10">
        <f>CD$5+SUM(CE$5:CE269)+SUM(R$5:R269)-SUM(S$5:S269)-SUM(CF$5:CF269)</f>
        <v>174373.25004653184</v>
      </c>
      <c r="CE270" s="10">
        <f aca="true" t="shared" si="1219" ref="CE270:CE272">IF(AB270=1,BQ270*BX270/12,0)</f>
        <v>1047.3493000620995</v>
      </c>
      <c r="CF270" s="10">
        <f aca="true" t="shared" si="1220" ref="CF270:CF272">-F270</f>
        <v>3136.178182160215</v>
      </c>
      <c r="CG270" s="10">
        <f aca="true" t="shared" si="1221" ref="CG270:CG272">CF270-CE270</f>
        <v>2088.828882098115</v>
      </c>
      <c r="CI270" s="44">
        <v>0</v>
      </c>
      <c r="CJ270" s="10">
        <f aca="true" t="shared" si="1222" ref="CJ270:CJ272">ROUND(CI270*(F270-S270),2)</f>
        <v>0</v>
      </c>
      <c r="CK270" s="4">
        <f aca="true" t="shared" si="1223" ref="CK270:CK272">ROUND(R270*CI270,2)</f>
        <v>0</v>
      </c>
      <c r="CM270" s="10">
        <f aca="true" t="shared" si="1224" ref="CM270:CM272">F270+S270+CM269</f>
        <v>-451680.38511425885</v>
      </c>
      <c r="CN270" s="4">
        <f aca="true" t="shared" si="1225" ref="CN270:CN272">CM270*BE270/12</f>
        <v>-2194.4138710134407</v>
      </c>
    </row>
    <row r="271" spans="2:92" ht="15.75">
      <c r="B271" s="37">
        <v>45352</v>
      </c>
      <c r="C271" s="77">
        <f t="shared" si="1177"/>
        <v>4.4621</v>
      </c>
      <c r="D271" s="79">
        <f>C271*(1+Podsumowanie!E$11)</f>
        <v>4.595963</v>
      </c>
      <c r="E271" s="34">
        <f t="shared" si="1178"/>
        <v>-665.304633693859</v>
      </c>
      <c r="F271" s="7">
        <f t="shared" si="1179"/>
        <v>-3057.7154801855295</v>
      </c>
      <c r="G271" s="7">
        <f t="shared" si="1180"/>
        <v>-1467.3865858103043</v>
      </c>
      <c r="H271" s="7">
        <f t="shared" si="1181"/>
        <v>1590.3288943752252</v>
      </c>
      <c r="I271" s="32"/>
      <c r="K271" s="4">
        <f>IF(B271&lt;Podsumowanie!E$7,0,K270+1)</f>
        <v>201</v>
      </c>
      <c r="L271" s="100">
        <f t="shared" si="1182"/>
        <v>0.016454</v>
      </c>
      <c r="M271" s="38">
        <f>L271+Podsumowanie!E$6</f>
        <v>0.028454</v>
      </c>
      <c r="N271" s="101">
        <f>MAX(Podsumowanie!E$4+SUM(AA$5:AA270)-SUM(X$5:X271)+SUM(W$5:W271),0)</f>
        <v>88952.94324592612</v>
      </c>
      <c r="O271" s="102">
        <f>MAX(Podsumowanie!E$2+SUM(V$5:V270)-SUM(S$5:S271)+SUM(R$5:R271),0)</f>
        <v>196193.3662820093</v>
      </c>
      <c r="P271" s="39">
        <f t="shared" si="401"/>
        <v>360</v>
      </c>
      <c r="Q271" s="40" t="str">
        <f>IF(AND(K271&gt;0,K271&lt;=Podsumowanie!E$9),"tak","nie")</f>
        <v>nie</v>
      </c>
      <c r="R271" s="41"/>
      <c r="S271" s="42"/>
      <c r="T271" s="88">
        <f t="shared" si="1183"/>
        <v>-465.20717034902435</v>
      </c>
      <c r="U271" s="89">
        <f>IF(Q271="tak",T271,IF(P271-SUM(AB$5:AB271)+1&gt;0,IF(Podsumowanie!E$7&lt;B271,IF(SUM(AB$5:AB271)-Podsumowanie!E$9+1&gt;0,PMT(M271/12,P271+1-SUM(AB$5:AB271),O271),T271),0),0))</f>
        <v>-1467.3865858103043</v>
      </c>
      <c r="V271" s="89">
        <f t="shared" si="1184"/>
        <v>-1002.1794154612799</v>
      </c>
      <c r="W271" s="90" t="str">
        <f>IF(R271&gt;0,R271/(C271*(1-Podsumowanie!E$11))," ")</f>
        <v xml:space="preserve"> </v>
      </c>
      <c r="X271" s="90">
        <f t="shared" si="1185"/>
        <v>0</v>
      </c>
      <c r="Y271" s="91">
        <f t="shared" si="1186"/>
        <v>-210.9222539266318</v>
      </c>
      <c r="Z271" s="90">
        <f>IF(P271-SUM(AB$5:AB271)+1&gt;0,IF(Podsumowanie!E$7&lt;B271,IF(SUM(AB$5:AB271)-Podsumowanie!E$9+1&gt;0,PMT(M271/12,P271+1-SUM(AB$5:AB271),N271),Y271),0),0)</f>
        <v>-665.304633693859</v>
      </c>
      <c r="AA271" s="90">
        <f t="shared" si="1187"/>
        <v>-454.38237976722723</v>
      </c>
      <c r="AB271" s="8">
        <f>IF(AND(Podsumowanie!E$7&lt;B271,SUM(AB$5:AB270)&lt;P270),1," ")</f>
        <v>1</v>
      </c>
      <c r="AD271" s="51">
        <f>IF(OR(B271&lt;Podsumowanie!E$12,Podsumowanie!E$12=""),-F271+S271,0)</f>
        <v>0</v>
      </c>
      <c r="AE271" s="51">
        <f t="shared" si="1188"/>
        <v>665.304633693859</v>
      </c>
      <c r="AG271" s="10">
        <f>Podsumowanie!E$4-SUM(AI$5:AI270)+SUM(W$42:W271)-SUM(X$42:X271)</f>
        <v>80827.99813555257</v>
      </c>
      <c r="AH271" s="10">
        <f t="shared" si="1189"/>
        <v>191.66</v>
      </c>
      <c r="AI271" s="10">
        <f t="shared" si="1190"/>
        <v>505.17</v>
      </c>
      <c r="AJ271" s="10">
        <f t="shared" si="1191"/>
        <v>696.83</v>
      </c>
      <c r="AK271" s="10">
        <f t="shared" si="1192"/>
        <v>3202.6</v>
      </c>
      <c r="AL271" s="10">
        <f>Podsumowanie!E$2-SUM(AN$5:AN270)+SUM(R$42:R271)-SUM(S$42:S271)</f>
        <v>178272.7999999997</v>
      </c>
      <c r="AM271" s="10">
        <f t="shared" si="1193"/>
        <v>422.71</v>
      </c>
      <c r="AN271" s="10">
        <f t="shared" si="1194"/>
        <v>1114.21</v>
      </c>
      <c r="AO271" s="10">
        <f t="shared" si="1195"/>
        <v>1536.92</v>
      </c>
      <c r="AP271" s="10">
        <f t="shared" si="1196"/>
        <v>1665.6799999999998</v>
      </c>
      <c r="AR271" s="43">
        <f t="shared" si="1197"/>
        <v>45352</v>
      </c>
      <c r="AS271" s="11">
        <f>AS$5+SUM(AV$5:AV270)-SUM(X$5:X271)+SUM(W$5:W271)</f>
        <v>86284.3549485483</v>
      </c>
      <c r="AT271" s="10">
        <f t="shared" si="1198"/>
        <v>-204.59458630883276</v>
      </c>
      <c r="AU271" s="10">
        <f>IF(AB271=1,IF(Q271="tak",AT271,PMT(M271/12,P271+1-SUM(AB$5:AB271),AS271)),0)</f>
        <v>-645.3454946830428</v>
      </c>
      <c r="AV271" s="10">
        <f t="shared" si="1199"/>
        <v>-440.7509083742101</v>
      </c>
      <c r="AW271" s="10">
        <f t="shared" si="1200"/>
        <v>-2879.5961318252057</v>
      </c>
      <c r="AY271" s="11">
        <f>AY$5+SUM(BA$5:BA270)+SUM(W$5:W270)-SUM(X$5:X270)</f>
        <v>78402.98719148555</v>
      </c>
      <c r="AZ271" s="11">
        <f t="shared" si="1201"/>
        <v>-204.59458630883276</v>
      </c>
      <c r="BA271" s="11">
        <f t="shared" si="1202"/>
        <v>-490.02</v>
      </c>
      <c r="BB271" s="11">
        <f t="shared" si="1203"/>
        <v>-694.6145863088327</v>
      </c>
      <c r="BC271" s="11">
        <f t="shared" si="1204"/>
        <v>-3099.4397455686426</v>
      </c>
      <c r="BE271" s="172">
        <f t="shared" si="1205"/>
        <v>0.0583</v>
      </c>
      <c r="BF271" s="44">
        <f>BE271+Podsumowanie!$E$6</f>
        <v>0.0703</v>
      </c>
      <c r="BG271" s="11">
        <f>BG$5+SUM(BH$5:BH270)+SUM(R$5:R270)-SUM(S$5:S270)</f>
        <v>241969.59448335625</v>
      </c>
      <c r="BH271" s="10">
        <f t="shared" si="1206"/>
        <v>-908.0341117998444</v>
      </c>
      <c r="BI271" s="10">
        <f t="shared" si="1207"/>
        <v>-1417.5385410149954</v>
      </c>
      <c r="BJ271" s="10">
        <f>IF(U271&lt;0,PMT(BF271/12,Podsumowanie!E$8-SUM(AB$5:AB271)+1,BG271),0)</f>
        <v>-2325.57265281484</v>
      </c>
      <c r="BL271" s="11">
        <f>BL$5+SUM(BN$5:BN270)+SUM(R$5:R270)-SUM(S$5:S270)</f>
        <v>178272.98050139332</v>
      </c>
      <c r="BM271" s="11">
        <f t="shared" si="1208"/>
        <v>-1044.382544103996</v>
      </c>
      <c r="BN271" s="11">
        <f t="shared" si="1209"/>
        <v>-1114.2061281337083</v>
      </c>
      <c r="BO271" s="11">
        <f t="shared" si="1210"/>
        <v>-2158.5886722377045</v>
      </c>
      <c r="BQ271" s="44">
        <f t="shared" si="1211"/>
        <v>0.07039999999999999</v>
      </c>
      <c r="BR271" s="11">
        <f>BR$5+SUM(BS$5:BS270)+SUM(R$5:R270)-SUM(S$5:S270)+SUM(BV$5:BV270)</f>
        <v>210526.87378498138</v>
      </c>
      <c r="BS271" s="10">
        <f t="shared" si="1212"/>
        <v>-789.4348496571708</v>
      </c>
      <c r="BT271" s="10">
        <f t="shared" si="1213"/>
        <v>-1235.0909928718906</v>
      </c>
      <c r="BU271" s="10">
        <f>IF(U271&lt;0,PMT(BQ271/12,Podsumowanie!E$8-SUM(AB$5:AB271)+1,BR271),0)</f>
        <v>-2024.5258425290615</v>
      </c>
      <c r="BV271" s="10">
        <f t="shared" si="1214"/>
        <v>-1033.189637656468</v>
      </c>
      <c r="BX271" s="11">
        <f>BX$5+SUM(BZ$5:BZ270)+SUM(R$5:R270)-SUM(S$5:S270)+SUM(CB$5,CB270)</f>
        <v>177468.01400701905</v>
      </c>
      <c r="BY271" s="10">
        <f t="shared" si="1215"/>
        <v>-1041.1456821745116</v>
      </c>
      <c r="BZ271" s="10">
        <f t="shared" si="1216"/>
        <v>-1109.175087543869</v>
      </c>
      <c r="CA271" s="10">
        <f t="shared" si="1217"/>
        <v>-2150.3207697183807</v>
      </c>
      <c r="CB271" s="10">
        <f t="shared" si="1218"/>
        <v>-907.3947104671488</v>
      </c>
      <c r="CD271" s="10">
        <f>CD$5+SUM(CE$5:CE270)+SUM(R$5:R270)-SUM(S$5:S270)-SUM(CF$5:CF270)</f>
        <v>172284.4211644337</v>
      </c>
      <c r="CE271" s="10">
        <f t="shared" si="1219"/>
        <v>1041.1456821745116</v>
      </c>
      <c r="CF271" s="10">
        <f t="shared" si="1220"/>
        <v>3057.7154801855295</v>
      </c>
      <c r="CG271" s="10">
        <f t="shared" si="1221"/>
        <v>2016.5697980110178</v>
      </c>
      <c r="CI271" s="44">
        <v>0</v>
      </c>
      <c r="CJ271" s="10">
        <f t="shared" si="1222"/>
        <v>0</v>
      </c>
      <c r="CK271" s="4">
        <f t="shared" si="1223"/>
        <v>0</v>
      </c>
      <c r="CM271" s="10">
        <f t="shared" si="1224"/>
        <v>-454738.1005944444</v>
      </c>
      <c r="CN271" s="4">
        <f t="shared" si="1225"/>
        <v>-2209.2692720546756</v>
      </c>
    </row>
    <row r="272" spans="2:92" ht="15.75">
      <c r="B272" s="37">
        <v>45383</v>
      </c>
      <c r="C272" s="77">
        <f t="shared" si="1177"/>
        <v>4.4106</v>
      </c>
      <c r="D272" s="79">
        <f>C272*(1+Podsumowanie!E$11)</f>
        <v>4.542917999999999</v>
      </c>
      <c r="E272" s="34">
        <f t="shared" si="1178"/>
        <v>-665.3046336938588</v>
      </c>
      <c r="F272" s="7">
        <f t="shared" si="1179"/>
        <v>-3022.424395891237</v>
      </c>
      <c r="G272" s="7">
        <f t="shared" si="1180"/>
        <v>-1467.386585810304</v>
      </c>
      <c r="H272" s="7">
        <f t="shared" si="1181"/>
        <v>1555.037810080933</v>
      </c>
      <c r="I272" s="32"/>
      <c r="K272" s="4">
        <f>IF(B272&lt;Podsumowanie!E$7,0,K271+1)</f>
        <v>202</v>
      </c>
      <c r="L272" s="100">
        <f t="shared" si="1182"/>
        <v>0.016454</v>
      </c>
      <c r="M272" s="38">
        <f>L272+Podsumowanie!E$6</f>
        <v>0.028454</v>
      </c>
      <c r="N272" s="101">
        <f>MAX(Podsumowanie!E$4+SUM(AA$5:AA271)-SUM(X$5:X272)+SUM(W$5:W272),0)</f>
        <v>88498.56086615889</v>
      </c>
      <c r="O272" s="102">
        <f>MAX(Podsumowanie!E$2+SUM(V$5:V271)-SUM(S$5:S272)+SUM(R$5:R272),0)</f>
        <v>195191.186866548</v>
      </c>
      <c r="P272" s="39">
        <f t="shared" si="401"/>
        <v>360</v>
      </c>
      <c r="Q272" s="40" t="str">
        <f>IF(AND(K272&gt;0,K272&lt;=Podsumowanie!E$9),"tak","nie")</f>
        <v>nie</v>
      </c>
      <c r="R272" s="41"/>
      <c r="S272" s="42"/>
      <c r="T272" s="88">
        <f t="shared" si="1183"/>
        <v>-462.830835925063</v>
      </c>
      <c r="U272" s="89">
        <f>IF(Q272="tak",T272,IF(P272-SUM(AB$5:AB272)+1&gt;0,IF(Podsumowanie!E$7&lt;B272,IF(SUM(AB$5:AB272)-Podsumowanie!E$9+1&gt;0,PMT(M272/12,P272+1-SUM(AB$5:AB272),O272),T272),0),0))</f>
        <v>-1467.386585810304</v>
      </c>
      <c r="V272" s="89">
        <f t="shared" si="1184"/>
        <v>-1004.5557498852411</v>
      </c>
      <c r="W272" s="90" t="str">
        <f>IF(R272&gt;0,R272/(C272*(1-Podsumowanie!E$11))," ")</f>
        <v xml:space="preserve"> </v>
      </c>
      <c r="X272" s="90">
        <f t="shared" si="1185"/>
        <v>0</v>
      </c>
      <c r="Y272" s="91">
        <f t="shared" si="1186"/>
        <v>-209.8448375738071</v>
      </c>
      <c r="Z272" s="90">
        <f>IF(P272-SUM(AB$5:AB272)+1&gt;0,IF(Podsumowanie!E$7&lt;B272,IF(SUM(AB$5:AB272)-Podsumowanie!E$9+1&gt;0,PMT(M272/12,P272+1-SUM(AB$5:AB272),N272),Y272),0),0)</f>
        <v>-665.3046336938588</v>
      </c>
      <c r="AA272" s="90">
        <f t="shared" si="1187"/>
        <v>-455.4597961200517</v>
      </c>
      <c r="AB272" s="8">
        <f>IF(AND(Podsumowanie!E$7&lt;B272,SUM(AB$5:AB271)&lt;P271),1," ")</f>
        <v>1</v>
      </c>
      <c r="AD272" s="51">
        <f>IF(OR(B272&lt;Podsumowanie!E$12,Podsumowanie!E$12=""),-F272+S272,0)</f>
        <v>0</v>
      </c>
      <c r="AE272" s="51">
        <f t="shared" si="1188"/>
        <v>665.3046336938588</v>
      </c>
      <c r="AG272" s="10">
        <f>Podsumowanie!E$4-SUM(AI$5:AI271)+SUM(W$42:W272)-SUM(X$42:X272)</f>
        <v>80322.82813555257</v>
      </c>
      <c r="AH272" s="10">
        <f t="shared" si="1189"/>
        <v>190.46</v>
      </c>
      <c r="AI272" s="10">
        <f t="shared" si="1190"/>
        <v>505.18</v>
      </c>
      <c r="AJ272" s="10">
        <f t="shared" si="1191"/>
        <v>695.64</v>
      </c>
      <c r="AK272" s="10">
        <f t="shared" si="1192"/>
        <v>3160.24</v>
      </c>
      <c r="AL272" s="10">
        <f>Podsumowanie!E$2-SUM(AN$5:AN271)+SUM(R$42:R272)-SUM(S$42:S272)</f>
        <v>177158.5899999997</v>
      </c>
      <c r="AM272" s="10">
        <f t="shared" si="1193"/>
        <v>420.07</v>
      </c>
      <c r="AN272" s="10">
        <f t="shared" si="1194"/>
        <v>1114.2</v>
      </c>
      <c r="AO272" s="10">
        <f t="shared" si="1195"/>
        <v>1534.27</v>
      </c>
      <c r="AP272" s="10">
        <f t="shared" si="1196"/>
        <v>1625.9699999999998</v>
      </c>
      <c r="AR272" s="43">
        <f t="shared" si="1197"/>
        <v>45383</v>
      </c>
      <c r="AS272" s="11">
        <f>AS$5+SUM(AV$5:AV271)-SUM(X$5:X272)+SUM(W$5:W272)</f>
        <v>85843.60404017409</v>
      </c>
      <c r="AT272" s="10">
        <f t="shared" si="1198"/>
        <v>-203.5494924465928</v>
      </c>
      <c r="AU272" s="10">
        <f>IF(AB272=1,IF(Q272="tak",AT272,PMT(M272/12,P272+1-SUM(AB$5:AB272),AS272)),0)</f>
        <v>-645.3454946830428</v>
      </c>
      <c r="AV272" s="10">
        <f t="shared" si="1199"/>
        <v>-441.79600223645</v>
      </c>
      <c r="AW272" s="10">
        <f t="shared" si="1200"/>
        <v>-2846.3608388490284</v>
      </c>
      <c r="AY272" s="11">
        <f>AY$5+SUM(BA$5:BA271)+SUM(W$5:W271)-SUM(X$5:X271)</f>
        <v>77912.96719148554</v>
      </c>
      <c r="AZ272" s="11">
        <f t="shared" si="1201"/>
        <v>-203.5494924465928</v>
      </c>
      <c r="BA272" s="11">
        <f t="shared" si="1202"/>
        <v>-490.02</v>
      </c>
      <c r="BB272" s="11">
        <f t="shared" si="1203"/>
        <v>-693.5694924465928</v>
      </c>
      <c r="BC272" s="11">
        <f t="shared" si="1204"/>
        <v>-3059.057603384942</v>
      </c>
      <c r="BE272" s="172">
        <f t="shared" si="1205"/>
        <v>0.0583</v>
      </c>
      <c r="BF272" s="44">
        <f>BE272+Podsumowanie!$E$6</f>
        <v>0.0703</v>
      </c>
      <c r="BG272" s="11">
        <f>BG$5+SUM(BH$5:BH271)+SUM(R$5:R271)-SUM(S$5:S271)</f>
        <v>241061.5603715564</v>
      </c>
      <c r="BH272" s="10">
        <f t="shared" si="1206"/>
        <v>-913.353678304805</v>
      </c>
      <c r="BI272" s="10">
        <f t="shared" si="1207"/>
        <v>-1412.2189745100347</v>
      </c>
      <c r="BJ272" s="10">
        <f>IF(U272&lt;0,PMT(BF272/12,Podsumowanie!E$8-SUM(AB$5:AB272)+1,BG272),0)</f>
        <v>-2325.57265281484</v>
      </c>
      <c r="BL272" s="11">
        <f>BL$5+SUM(BN$5:BN271)+SUM(R$5:R271)-SUM(S$5:S271)</f>
        <v>177158.77437325963</v>
      </c>
      <c r="BM272" s="11">
        <f t="shared" si="1208"/>
        <v>-1037.855153203346</v>
      </c>
      <c r="BN272" s="11">
        <f t="shared" si="1209"/>
        <v>-1114.2061281337083</v>
      </c>
      <c r="BO272" s="11">
        <f t="shared" si="1210"/>
        <v>-2152.0612813370544</v>
      </c>
      <c r="BQ272" s="44">
        <f t="shared" si="1211"/>
        <v>0.07039999999999999</v>
      </c>
      <c r="BR272" s="11">
        <f>BR$5+SUM(BS$5:BS271)+SUM(R$5:R271)-SUM(S$5:S271)+SUM(BV$5:BV271)</f>
        <v>208704.24929766773</v>
      </c>
      <c r="BS272" s="10">
        <f t="shared" si="1212"/>
        <v>-790.1545435411495</v>
      </c>
      <c r="BT272" s="10">
        <f t="shared" si="1213"/>
        <v>-1224.3982625463173</v>
      </c>
      <c r="BU272" s="10">
        <f>IF(U272&lt;0,PMT(BQ272/12,Podsumowanie!E$8-SUM(AB$5:AB272)+1,BR272),0)</f>
        <v>-2014.5528060874667</v>
      </c>
      <c r="BV272" s="10">
        <f t="shared" si="1214"/>
        <v>-1007.8715898037703</v>
      </c>
      <c r="BX272" s="11">
        <f>BX$5+SUM(BZ$5:BZ271)+SUM(R$5:R271)-SUM(S$5:S271)+SUM(CB$5,CB271)</f>
        <v>176431.41937139048</v>
      </c>
      <c r="BY272" s="10">
        <f t="shared" si="1215"/>
        <v>-1035.064326978824</v>
      </c>
      <c r="BZ272" s="10">
        <f t="shared" si="1216"/>
        <v>-1109.631568373525</v>
      </c>
      <c r="CA272" s="10">
        <f t="shared" si="1217"/>
        <v>-2144.695895352349</v>
      </c>
      <c r="CB272" s="10">
        <f t="shared" si="1218"/>
        <v>-877.728500538888</v>
      </c>
      <c r="CD272" s="10">
        <f>CD$5+SUM(CE$5:CE271)+SUM(R$5:R271)-SUM(S$5:S271)-SUM(CF$5:CF271)</f>
        <v>170267.85136642266</v>
      </c>
      <c r="CE272" s="10">
        <f t="shared" si="1219"/>
        <v>1035.064326978824</v>
      </c>
      <c r="CF272" s="10">
        <f t="shared" si="1220"/>
        <v>3022.424395891237</v>
      </c>
      <c r="CG272" s="10">
        <f t="shared" si="1221"/>
        <v>1987.360068912413</v>
      </c>
      <c r="CI272" s="44">
        <v>0</v>
      </c>
      <c r="CJ272" s="10">
        <f t="shared" si="1222"/>
        <v>0</v>
      </c>
      <c r="CK272" s="4">
        <f t="shared" si="1223"/>
        <v>0</v>
      </c>
      <c r="CM272" s="10">
        <f t="shared" si="1224"/>
        <v>-457760.52499033563</v>
      </c>
      <c r="CN272" s="4">
        <f t="shared" si="1225"/>
        <v>-2223.953217244714</v>
      </c>
    </row>
  </sheetData>
  <dataValidations count="1" disablePrompts="1">
    <dataValidation type="list" allowBlank="1" showInputMessage="1" showErrorMessage="1" sqref="Q5:Q272">
      <formula1>$AQ$5:$AQ$42</formula1>
    </dataValidation>
  </dataValidations>
  <printOptions/>
  <pageMargins left="0" right="0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0"/>
  <sheetViews>
    <sheetView workbookViewId="0" topLeftCell="A1">
      <pane xSplit="1" ySplit="2" topLeftCell="I240" activePane="bottomRight" state="frozen"/>
      <selection pane="topRight" activeCell="B1" sqref="B1"/>
      <selection pane="bottomLeft" activeCell="A3" sqref="A3"/>
      <selection pane="bottomRight" activeCell="Y271" sqref="Y271"/>
    </sheetView>
  </sheetViews>
  <sheetFormatPr defaultColWidth="11.00390625" defaultRowHeight="15.75"/>
  <cols>
    <col min="1" max="1" width="10.875" style="120" customWidth="1"/>
    <col min="2" max="4" width="10.875" style="125" customWidth="1"/>
    <col min="5" max="8" width="10.875" style="120" customWidth="1"/>
    <col min="9" max="9" width="13.00390625" style="120" bestFit="1" customWidth="1"/>
    <col min="10" max="10" width="16.00390625" style="120" bestFit="1" customWidth="1"/>
    <col min="11" max="11" width="13.375" style="120" bestFit="1" customWidth="1"/>
    <col min="12" max="16384" width="10.875" style="120" customWidth="1"/>
  </cols>
  <sheetData>
    <row r="1" spans="1:24" ht="35" customHeight="1">
      <c r="A1" s="124" t="s">
        <v>68</v>
      </c>
      <c r="H1" s="120" t="s">
        <v>69</v>
      </c>
      <c r="I1" s="120" t="s">
        <v>54</v>
      </c>
      <c r="J1" s="120" t="s">
        <v>72</v>
      </c>
      <c r="K1" s="120" t="s">
        <v>71</v>
      </c>
      <c r="L1" s="120" t="s">
        <v>34</v>
      </c>
      <c r="N1" s="120" t="s">
        <v>59</v>
      </c>
      <c r="O1" s="120" t="s">
        <v>70</v>
      </c>
      <c r="Q1" s="120" t="s">
        <v>93</v>
      </c>
      <c r="R1" s="124" t="s">
        <v>86</v>
      </c>
      <c r="W1" s="124" t="s">
        <v>111</v>
      </c>
      <c r="X1" s="186"/>
    </row>
    <row r="2" spans="1:23" ht="15.75">
      <c r="A2" s="126" t="s">
        <v>67</v>
      </c>
      <c r="B2" s="123" t="s">
        <v>7</v>
      </c>
      <c r="C2" s="123" t="s">
        <v>53</v>
      </c>
      <c r="D2" s="123" t="s">
        <v>66</v>
      </c>
      <c r="H2" s="126" t="s">
        <v>67</v>
      </c>
      <c r="I2" s="126" t="s">
        <v>7</v>
      </c>
      <c r="J2" s="126" t="s">
        <v>53</v>
      </c>
      <c r="K2" s="126" t="s">
        <v>66</v>
      </c>
      <c r="L2" s="120" t="s">
        <v>8</v>
      </c>
      <c r="N2" s="120" t="s">
        <v>7</v>
      </c>
      <c r="O2" s="120">
        <v>2</v>
      </c>
      <c r="R2" s="141" t="s">
        <v>88</v>
      </c>
      <c r="V2" s="126" t="s">
        <v>67</v>
      </c>
      <c r="W2" s="186" t="s">
        <v>110</v>
      </c>
    </row>
    <row r="3" spans="1:23" ht="15.75">
      <c r="A3" s="121">
        <v>37257</v>
      </c>
      <c r="B3" s="127">
        <v>2.4382</v>
      </c>
      <c r="C3" s="123">
        <v>3.595</v>
      </c>
      <c r="D3" s="123">
        <v>4.0649</v>
      </c>
      <c r="H3" s="121">
        <v>37257</v>
      </c>
      <c r="I3" s="130">
        <v>0.018267</v>
      </c>
      <c r="J3" s="131">
        <v>0.03279</v>
      </c>
      <c r="K3" s="133">
        <v>0.0186</v>
      </c>
      <c r="L3" s="174">
        <v>0.1182</v>
      </c>
      <c r="N3" s="120" t="s">
        <v>53</v>
      </c>
      <c r="O3" s="120">
        <v>3</v>
      </c>
      <c r="Q3" s="121">
        <v>37257</v>
      </c>
      <c r="R3" s="142">
        <f>Podsumowanie!E$6</f>
        <v>0.012</v>
      </c>
      <c r="S3" s="124" t="s">
        <v>89</v>
      </c>
      <c r="V3" s="121">
        <v>37257</v>
      </c>
      <c r="W3" s="190">
        <v>0.9956</v>
      </c>
    </row>
    <row r="4" spans="1:23" ht="15.75">
      <c r="A4" s="122">
        <v>37288</v>
      </c>
      <c r="B4" s="127">
        <v>2.4643</v>
      </c>
      <c r="C4" s="123">
        <v>3.6414</v>
      </c>
      <c r="D4" s="123">
        <v>4.1871</v>
      </c>
      <c r="H4" s="122">
        <v>37288</v>
      </c>
      <c r="I4" s="130">
        <v>0.016767</v>
      </c>
      <c r="J4" s="131">
        <v>0.03375</v>
      </c>
      <c r="K4" s="133">
        <v>0.0192</v>
      </c>
      <c r="L4" s="174">
        <v>0.1081</v>
      </c>
      <c r="N4" s="120" t="s">
        <v>66</v>
      </c>
      <c r="O4" s="120">
        <v>4</v>
      </c>
      <c r="Q4" s="122">
        <v>37288</v>
      </c>
      <c r="R4" s="142">
        <f>Podsumowanie!E$6</f>
        <v>0.012</v>
      </c>
      <c r="V4" s="122">
        <v>37288</v>
      </c>
      <c r="W4" s="190">
        <v>0.9798</v>
      </c>
    </row>
    <row r="5" spans="1:23" ht="15.75">
      <c r="A5" s="122">
        <v>37316</v>
      </c>
      <c r="B5" s="127">
        <v>2.4726</v>
      </c>
      <c r="C5" s="123">
        <v>3.6295</v>
      </c>
      <c r="D5" s="123">
        <v>4.1427</v>
      </c>
      <c r="H5" s="122">
        <v>37316</v>
      </c>
      <c r="I5" s="130">
        <v>0.017467</v>
      </c>
      <c r="J5" s="131">
        <v>0.03367</v>
      </c>
      <c r="K5" s="133">
        <v>0.019</v>
      </c>
      <c r="L5" s="174">
        <v>0.1019</v>
      </c>
      <c r="Q5" s="122">
        <v>37316</v>
      </c>
      <c r="R5" s="142">
        <f>Podsumowanie!E$6</f>
        <v>0.012</v>
      </c>
      <c r="V5" s="122">
        <v>37316</v>
      </c>
      <c r="W5" s="190">
        <v>0.9778</v>
      </c>
    </row>
    <row r="6" spans="1:23" ht="15.75">
      <c r="A6" s="122">
        <v>37347</v>
      </c>
      <c r="B6" s="127">
        <v>2.4517</v>
      </c>
      <c r="C6" s="123">
        <v>3.5947</v>
      </c>
      <c r="D6" s="123">
        <v>4.059</v>
      </c>
      <c r="H6" s="122">
        <v>37347</v>
      </c>
      <c r="I6" s="130">
        <v>0.016283</v>
      </c>
      <c r="J6" s="131">
        <v>0.03446</v>
      </c>
      <c r="K6" s="133">
        <v>0.0204</v>
      </c>
      <c r="L6" s="174">
        <v>0.1034</v>
      </c>
      <c r="Q6" s="122">
        <v>37347</v>
      </c>
      <c r="R6" s="142">
        <f>Podsumowanie!E$6</f>
        <v>0.012</v>
      </c>
      <c r="V6" s="122">
        <v>37347</v>
      </c>
      <c r="W6" s="190">
        <v>0.9739</v>
      </c>
    </row>
    <row r="7" spans="1:23" ht="15.75">
      <c r="A7" s="122">
        <v>37377</v>
      </c>
      <c r="B7" s="127">
        <v>2.5422</v>
      </c>
      <c r="C7" s="123">
        <v>3.7026</v>
      </c>
      <c r="D7" s="123">
        <v>4.0454</v>
      </c>
      <c r="H7" s="122">
        <v>37377</v>
      </c>
      <c r="I7" s="130">
        <v>0.015</v>
      </c>
      <c r="J7" s="131">
        <v>0.03383</v>
      </c>
      <c r="K7" s="133">
        <v>0.0192</v>
      </c>
      <c r="L7" s="174">
        <v>0.101</v>
      </c>
      <c r="M7" s="124" t="s">
        <v>73</v>
      </c>
      <c r="Q7" s="122">
        <v>37377</v>
      </c>
      <c r="R7" s="142">
        <f>Podsumowanie!E$6</f>
        <v>0.012</v>
      </c>
      <c r="V7" s="122">
        <v>37377</v>
      </c>
      <c r="W7" s="190">
        <v>0.9641</v>
      </c>
    </row>
    <row r="8" spans="1:23" ht="15.75">
      <c r="A8" s="122">
        <v>37408</v>
      </c>
      <c r="B8" s="127">
        <v>2.6149</v>
      </c>
      <c r="C8" s="123">
        <v>3.8474</v>
      </c>
      <c r="D8" s="123">
        <v>4.0247</v>
      </c>
      <c r="H8" s="122">
        <v>37408</v>
      </c>
      <c r="I8" s="130">
        <v>0.012533</v>
      </c>
      <c r="J8" s="131">
        <v>0.03483</v>
      </c>
      <c r="K8" s="133">
        <v>0.0189</v>
      </c>
      <c r="L8" s="174">
        <v>0.096</v>
      </c>
      <c r="M8" s="141" t="s">
        <v>96</v>
      </c>
      <c r="Q8" s="122">
        <v>37408</v>
      </c>
      <c r="R8" s="142">
        <f>Podsumowanie!E$6</f>
        <v>0.012</v>
      </c>
      <c r="V8" s="122">
        <v>37408</v>
      </c>
      <c r="W8" s="190">
        <v>0.968</v>
      </c>
    </row>
    <row r="9" spans="1:23" ht="15.75">
      <c r="A9" s="122">
        <v>37438</v>
      </c>
      <c r="B9" s="127">
        <v>2.7957</v>
      </c>
      <c r="C9" s="123">
        <v>4.0877</v>
      </c>
      <c r="D9" s="123">
        <v>4.1177</v>
      </c>
      <c r="H9" s="122">
        <v>37438</v>
      </c>
      <c r="I9" s="130">
        <v>0.012333</v>
      </c>
      <c r="J9" s="131">
        <v>0.03438</v>
      </c>
      <c r="K9" s="133">
        <v>0.0186</v>
      </c>
      <c r="L9" s="174">
        <v>0.0893</v>
      </c>
      <c r="Q9" s="122">
        <v>37438</v>
      </c>
      <c r="R9" s="142">
        <f>Podsumowanie!E$6</f>
        <v>0.012</v>
      </c>
      <c r="V9" s="122">
        <v>37438</v>
      </c>
      <c r="W9" s="190">
        <v>0.9759</v>
      </c>
    </row>
    <row r="10" spans="1:23" ht="15.75">
      <c r="A10" s="122">
        <v>37469</v>
      </c>
      <c r="B10" s="127">
        <v>2.7926</v>
      </c>
      <c r="C10" s="123">
        <v>4.0852</v>
      </c>
      <c r="D10" s="123">
        <v>4.1789</v>
      </c>
      <c r="H10" s="122">
        <v>37469</v>
      </c>
      <c r="I10" s="130">
        <v>0.00795</v>
      </c>
      <c r="J10" s="131">
        <v>0.03371</v>
      </c>
      <c r="K10" s="133">
        <v>0.0181</v>
      </c>
      <c r="L10" s="174">
        <v>0.0865</v>
      </c>
      <c r="Q10" s="122">
        <v>37469</v>
      </c>
      <c r="R10" s="142">
        <f>Podsumowanie!E$6</f>
        <v>0.012</v>
      </c>
      <c r="V10" s="122">
        <v>37469</v>
      </c>
      <c r="W10" s="190">
        <v>0.9858</v>
      </c>
    </row>
    <row r="11" spans="1:23" ht="15.75">
      <c r="A11" s="122">
        <v>37500</v>
      </c>
      <c r="B11" s="127">
        <v>2.7803</v>
      </c>
      <c r="C11" s="123">
        <v>4.0738</v>
      </c>
      <c r="D11" s="123">
        <v>4.1499</v>
      </c>
      <c r="H11" s="122">
        <v>37500</v>
      </c>
      <c r="I11" s="130">
        <v>0.007467</v>
      </c>
      <c r="J11" s="131">
        <v>0.03351</v>
      </c>
      <c r="K11" s="133">
        <v>0.0181</v>
      </c>
      <c r="L11" s="174">
        <v>0.0833</v>
      </c>
      <c r="Q11" s="122">
        <v>37500</v>
      </c>
      <c r="R11" s="142">
        <f>Podsumowanie!E$6</f>
        <v>0.012</v>
      </c>
      <c r="V11" s="122">
        <v>37500</v>
      </c>
      <c r="W11" s="190">
        <v>0.9938</v>
      </c>
    </row>
    <row r="12" spans="1:23" ht="15.75">
      <c r="A12" s="122">
        <v>37530</v>
      </c>
      <c r="B12" s="127">
        <v>2.7613</v>
      </c>
      <c r="C12" s="123">
        <v>4.0454</v>
      </c>
      <c r="D12" s="123">
        <v>4.123</v>
      </c>
      <c r="H12" s="122">
        <v>37530</v>
      </c>
      <c r="I12" s="130">
        <v>0.007333</v>
      </c>
      <c r="J12" s="131">
        <v>0.03279</v>
      </c>
      <c r="K12" s="133">
        <v>0.0176</v>
      </c>
      <c r="L12" s="174">
        <v>0.0768</v>
      </c>
      <c r="Q12" s="122">
        <v>37530</v>
      </c>
      <c r="R12" s="142">
        <f>Podsumowanie!E$6</f>
        <v>0.012</v>
      </c>
      <c r="V12" s="122">
        <v>37530</v>
      </c>
      <c r="W12" s="190">
        <v>0.9878</v>
      </c>
    </row>
    <row r="13" spans="1:23" ht="15.75">
      <c r="A13" s="122">
        <v>37561</v>
      </c>
      <c r="B13" s="127">
        <v>2.6983</v>
      </c>
      <c r="C13" s="123">
        <v>3.9593</v>
      </c>
      <c r="D13" s="123">
        <v>3.9557</v>
      </c>
      <c r="H13" s="122">
        <v>37561</v>
      </c>
      <c r="I13" s="130">
        <v>0.007367</v>
      </c>
      <c r="J13" s="131">
        <v>0.03236</v>
      </c>
      <c r="K13" s="133">
        <v>0.0166</v>
      </c>
      <c r="L13" s="174">
        <v>0.0703</v>
      </c>
      <c r="Q13" s="122">
        <v>37561</v>
      </c>
      <c r="R13" s="142">
        <f>Podsumowanie!E$6</f>
        <v>0.012</v>
      </c>
      <c r="V13" s="122">
        <v>37561</v>
      </c>
      <c r="W13" s="190">
        <v>0.9819</v>
      </c>
    </row>
    <row r="14" spans="1:23" ht="15.75">
      <c r="A14" s="122">
        <v>37591</v>
      </c>
      <c r="B14" s="127">
        <v>2.7182</v>
      </c>
      <c r="C14" s="123">
        <v>3.9876</v>
      </c>
      <c r="D14" s="123">
        <v>3.9114</v>
      </c>
      <c r="H14" s="122">
        <v>37591</v>
      </c>
      <c r="I14" s="130">
        <v>0.007433</v>
      </c>
      <c r="J14" s="131">
        <v>0.03036</v>
      </c>
      <c r="K14" s="133">
        <v>0.0142</v>
      </c>
      <c r="L14" s="174">
        <v>0.067</v>
      </c>
      <c r="Q14" s="122">
        <v>37591</v>
      </c>
      <c r="R14" s="142">
        <f>Podsumowanie!E$6</f>
        <v>0.012</v>
      </c>
      <c r="V14" s="122">
        <v>37591</v>
      </c>
      <c r="W14" s="190">
        <v>0.9839</v>
      </c>
    </row>
    <row r="15" spans="1:23" ht="15.75">
      <c r="A15" s="122">
        <v>37622</v>
      </c>
      <c r="B15" s="127">
        <v>2.7816</v>
      </c>
      <c r="C15" s="123">
        <v>4.0644</v>
      </c>
      <c r="D15" s="123">
        <v>3.8321</v>
      </c>
      <c r="H15" s="122">
        <v>37622</v>
      </c>
      <c r="I15" s="130">
        <v>0.006017</v>
      </c>
      <c r="J15" s="131">
        <v>0.02861</v>
      </c>
      <c r="K15" s="133">
        <v>0.0138</v>
      </c>
      <c r="L15" s="174">
        <v>0.0678</v>
      </c>
      <c r="Q15" s="122">
        <v>37622</v>
      </c>
      <c r="R15" s="142">
        <f>Podsumowanie!E$6</f>
        <v>0.012</v>
      </c>
      <c r="V15" s="122">
        <v>37622</v>
      </c>
      <c r="W15" s="190">
        <v>0.9819</v>
      </c>
    </row>
    <row r="16" spans="1:23" ht="15.75">
      <c r="A16" s="122">
        <v>37653</v>
      </c>
      <c r="B16" s="127">
        <v>2.8381</v>
      </c>
      <c r="C16" s="123">
        <v>4.1645</v>
      </c>
      <c r="D16" s="123">
        <v>3.8626</v>
      </c>
      <c r="H16" s="122">
        <v>37653</v>
      </c>
      <c r="I16" s="130">
        <v>0.006067</v>
      </c>
      <c r="J16" s="131">
        <v>0.02807</v>
      </c>
      <c r="K16" s="133">
        <v>0.0135</v>
      </c>
      <c r="L16" s="174">
        <v>0.0644</v>
      </c>
      <c r="Q16" s="122">
        <v>37653</v>
      </c>
      <c r="R16" s="142">
        <f>Podsumowanie!E$6</f>
        <v>0.012</v>
      </c>
      <c r="V16" s="122">
        <v>37653</v>
      </c>
      <c r="W16" s="190">
        <v>0.974</v>
      </c>
    </row>
    <row r="17" spans="1:23" ht="15.75">
      <c r="A17" s="122">
        <v>37681</v>
      </c>
      <c r="B17" s="127">
        <v>2.9426</v>
      </c>
      <c r="C17" s="123">
        <v>4.3227</v>
      </c>
      <c r="D17" s="123">
        <v>4.0033</v>
      </c>
      <c r="H17" s="122">
        <v>37681</v>
      </c>
      <c r="I17" s="130">
        <v>0.005733</v>
      </c>
      <c r="J17" s="131">
        <v>0.02503</v>
      </c>
      <c r="K17" s="133">
        <v>0.0134</v>
      </c>
      <c r="L17" s="174">
        <v>0.0628</v>
      </c>
      <c r="Q17" s="122">
        <v>37681</v>
      </c>
      <c r="R17" s="142">
        <f>Podsumowanie!E$6</f>
        <v>0.012</v>
      </c>
      <c r="V17" s="122">
        <v>37681</v>
      </c>
      <c r="W17" s="190">
        <v>0.972</v>
      </c>
    </row>
    <row r="18" spans="1:23" ht="15.75">
      <c r="A18" s="122">
        <v>37712</v>
      </c>
      <c r="B18" s="127">
        <v>2.8726</v>
      </c>
      <c r="C18" s="123">
        <v>4.2985</v>
      </c>
      <c r="D18" s="123">
        <v>3.961</v>
      </c>
      <c r="H18" s="122">
        <v>37712</v>
      </c>
      <c r="I18" s="130">
        <v>0.0031</v>
      </c>
      <c r="J18" s="131">
        <v>0.02514</v>
      </c>
      <c r="K18" s="133">
        <v>0.0128</v>
      </c>
      <c r="L18" s="174">
        <v>0.0597</v>
      </c>
      <c r="Q18" s="122">
        <v>37712</v>
      </c>
      <c r="R18" s="142">
        <f>Podsumowanie!E$6</f>
        <v>0.012</v>
      </c>
      <c r="V18" s="122">
        <v>37712</v>
      </c>
      <c r="W18" s="190">
        <v>0.9661</v>
      </c>
    </row>
    <row r="19" spans="1:23" ht="15.75">
      <c r="A19" s="122">
        <v>37742</v>
      </c>
      <c r="B19" s="127">
        <v>2.8555</v>
      </c>
      <c r="C19" s="123">
        <v>4.326</v>
      </c>
      <c r="D19" s="123">
        <v>3.7482</v>
      </c>
      <c r="H19" s="122">
        <v>37742</v>
      </c>
      <c r="I19" s="130">
        <v>0.003</v>
      </c>
      <c r="J19" s="131">
        <v>0.02504</v>
      </c>
      <c r="K19" s="133">
        <v>0.013</v>
      </c>
      <c r="L19" s="174">
        <v>0.057</v>
      </c>
      <c r="Q19" s="122">
        <v>37742</v>
      </c>
      <c r="R19" s="142">
        <f>Podsumowanie!E$6</f>
        <v>0.012</v>
      </c>
      <c r="V19" s="122">
        <v>37742</v>
      </c>
      <c r="W19" s="190">
        <v>0.9622</v>
      </c>
    </row>
    <row r="20" spans="1:23" ht="15.75">
      <c r="A20" s="122">
        <v>37773</v>
      </c>
      <c r="B20" s="127">
        <v>2.8789</v>
      </c>
      <c r="C20" s="123">
        <v>4.4361</v>
      </c>
      <c r="D20" s="123">
        <v>3.7966</v>
      </c>
      <c r="H20" s="122">
        <v>37773</v>
      </c>
      <c r="I20" s="130">
        <v>0.0029</v>
      </c>
      <c r="J20" s="131">
        <v>0.02258</v>
      </c>
      <c r="K20" s="133">
        <v>0.0128</v>
      </c>
      <c r="L20" s="174">
        <v>0.054</v>
      </c>
      <c r="Q20" s="122">
        <v>37773</v>
      </c>
      <c r="R20" s="142">
        <f>Podsumowanie!E$6</f>
        <v>0.012</v>
      </c>
      <c r="V20" s="122">
        <v>37773</v>
      </c>
      <c r="W20" s="190">
        <v>0.9622</v>
      </c>
    </row>
    <row r="21" spans="1:23" ht="15.75">
      <c r="A21" s="122">
        <v>37803</v>
      </c>
      <c r="B21" s="127">
        <v>2.8722</v>
      </c>
      <c r="C21" s="123">
        <v>4.4429</v>
      </c>
      <c r="D21" s="123">
        <v>3.9064</v>
      </c>
      <c r="H21" s="122">
        <v>37803</v>
      </c>
      <c r="I21" s="130">
        <v>0.0028</v>
      </c>
      <c r="J21" s="131">
        <v>0.02145</v>
      </c>
      <c r="K21" s="133">
        <v>0.0111</v>
      </c>
      <c r="L21" s="174">
        <v>0.0529</v>
      </c>
      <c r="Q21" s="122">
        <v>37803</v>
      </c>
      <c r="R21" s="142">
        <f>Podsumowanie!E$6</f>
        <v>0.012</v>
      </c>
      <c r="V21" s="122">
        <v>37803</v>
      </c>
      <c r="W21" s="190">
        <v>0.9642</v>
      </c>
    </row>
    <row r="22" spans="1:23" ht="15.75">
      <c r="A22" s="122">
        <v>37834</v>
      </c>
      <c r="B22" s="127">
        <v>2.8345</v>
      </c>
      <c r="C22" s="123">
        <v>4.3668</v>
      </c>
      <c r="D22" s="123">
        <v>3.9184</v>
      </c>
      <c r="H22" s="122">
        <v>37834</v>
      </c>
      <c r="I22" s="130">
        <v>0.002933</v>
      </c>
      <c r="J22" s="131">
        <v>0.02129</v>
      </c>
      <c r="K22" s="133">
        <v>0.0114</v>
      </c>
      <c r="L22" s="174">
        <v>0.0523</v>
      </c>
      <c r="Q22" s="122">
        <v>37834</v>
      </c>
      <c r="R22" s="142">
        <f>Podsumowanie!E$6</f>
        <v>0.012</v>
      </c>
      <c r="V22" s="122">
        <v>37834</v>
      </c>
      <c r="W22" s="190">
        <v>0.9721</v>
      </c>
    </row>
    <row r="23" spans="1:23" ht="15.75">
      <c r="A23" s="122">
        <v>37865</v>
      </c>
      <c r="B23" s="127">
        <v>2.8863</v>
      </c>
      <c r="C23" s="123">
        <v>4.4669</v>
      </c>
      <c r="D23" s="123">
        <v>3.9815</v>
      </c>
      <c r="H23" s="122">
        <v>37865</v>
      </c>
      <c r="I23" s="130">
        <v>0.002667</v>
      </c>
      <c r="J23" s="131">
        <v>0.02151</v>
      </c>
      <c r="K23" s="133">
        <v>0.0114</v>
      </c>
      <c r="L23" s="174">
        <v>0.0515</v>
      </c>
      <c r="Q23" s="122">
        <v>37865</v>
      </c>
      <c r="R23" s="142">
        <f>Podsumowanie!E$6</f>
        <v>0.012</v>
      </c>
      <c r="V23" s="122">
        <v>37865</v>
      </c>
      <c r="W23" s="190">
        <v>0.98</v>
      </c>
    </row>
    <row r="24" spans="1:23" ht="15.75">
      <c r="A24" s="122">
        <v>37895</v>
      </c>
      <c r="B24" s="127">
        <v>2.9651</v>
      </c>
      <c r="C24" s="123">
        <v>4.5895</v>
      </c>
      <c r="D24" s="123">
        <v>3.9221</v>
      </c>
      <c r="H24" s="122">
        <v>37895</v>
      </c>
      <c r="I24" s="130">
        <v>0.002433</v>
      </c>
      <c r="J24" s="131">
        <v>0.02121</v>
      </c>
      <c r="K24" s="133">
        <v>0.0115</v>
      </c>
      <c r="L24" s="174">
        <v>0.0527</v>
      </c>
      <c r="Q24" s="122">
        <v>37895</v>
      </c>
      <c r="R24" s="142">
        <f>Podsumowanie!E$6</f>
        <v>0.012</v>
      </c>
      <c r="V24" s="122">
        <v>37895</v>
      </c>
      <c r="W24" s="190">
        <v>0.9701</v>
      </c>
    </row>
    <row r="25" spans="1:23" ht="15.75">
      <c r="A25" s="122">
        <v>37926</v>
      </c>
      <c r="B25" s="127">
        <v>2.9691</v>
      </c>
      <c r="C25" s="123">
        <v>4.6254</v>
      </c>
      <c r="D25" s="123">
        <v>3.9488</v>
      </c>
      <c r="H25" s="122">
        <v>37926</v>
      </c>
      <c r="I25" s="130">
        <v>0.002492</v>
      </c>
      <c r="J25" s="131">
        <v>0.02163</v>
      </c>
      <c r="K25" s="133">
        <v>0.0117</v>
      </c>
      <c r="L25" s="174">
        <v>0.0583</v>
      </c>
      <c r="Q25" s="122">
        <v>37926</v>
      </c>
      <c r="R25" s="142">
        <f>Podsumowanie!E$6</f>
        <v>0.012</v>
      </c>
      <c r="V25" s="122">
        <v>37926</v>
      </c>
      <c r="W25" s="190">
        <v>0.9584</v>
      </c>
    </row>
    <row r="26" spans="1:23" ht="15.75">
      <c r="A26" s="122">
        <v>37956</v>
      </c>
      <c r="B26" s="127">
        <v>2.9924</v>
      </c>
      <c r="C26" s="123">
        <v>4.6547</v>
      </c>
      <c r="D26" s="123">
        <v>3.7879</v>
      </c>
      <c r="H26" s="122">
        <v>37956</v>
      </c>
      <c r="I26" s="130">
        <v>0.002733</v>
      </c>
      <c r="J26" s="131">
        <v>0.0216</v>
      </c>
      <c r="K26" s="133">
        <v>0.0118</v>
      </c>
      <c r="L26" s="174">
        <v>0.0586</v>
      </c>
      <c r="Q26" s="122">
        <v>37956</v>
      </c>
      <c r="R26" s="142">
        <f>Podsumowanie!E$6</f>
        <v>0.012</v>
      </c>
      <c r="V26" s="122">
        <v>37956</v>
      </c>
      <c r="W26" s="190">
        <v>0.9525</v>
      </c>
    </row>
    <row r="27" spans="1:23" ht="15.75">
      <c r="A27" s="121">
        <v>37987</v>
      </c>
      <c r="B27" s="127">
        <v>3.0099</v>
      </c>
      <c r="C27" s="123">
        <v>4.7116</v>
      </c>
      <c r="D27" s="123">
        <v>3.7349</v>
      </c>
      <c r="H27" s="121">
        <v>37987</v>
      </c>
      <c r="I27" s="130">
        <v>0.0026</v>
      </c>
      <c r="J27" s="131">
        <v>0.0212</v>
      </c>
      <c r="K27" s="133">
        <v>0.0115</v>
      </c>
      <c r="L27" s="174">
        <v>0.0552</v>
      </c>
      <c r="Q27" s="121">
        <v>37987</v>
      </c>
      <c r="R27" s="137">
        <v>0.016999999999999994</v>
      </c>
      <c r="S27" s="120" t="s">
        <v>87</v>
      </c>
      <c r="V27" s="121">
        <v>37987</v>
      </c>
      <c r="W27" s="190">
        <v>0.9486</v>
      </c>
    </row>
    <row r="28" spans="1:23" ht="15.75">
      <c r="A28" s="121">
        <v>38018</v>
      </c>
      <c r="B28" s="127">
        <v>3.0846</v>
      </c>
      <c r="C28" s="123">
        <v>4.8542</v>
      </c>
      <c r="D28" s="123">
        <v>3.8457</v>
      </c>
      <c r="H28" s="121">
        <v>38018</v>
      </c>
      <c r="I28" s="130">
        <v>0.00245</v>
      </c>
      <c r="J28" s="131">
        <v>0.02091</v>
      </c>
      <c r="K28" s="133">
        <v>0.0113</v>
      </c>
      <c r="L28" s="174">
        <v>0.055</v>
      </c>
      <c r="Q28" s="121">
        <v>38018</v>
      </c>
      <c r="R28" s="137">
        <v>0.017800000000000003</v>
      </c>
      <c r="V28" s="121">
        <v>38018</v>
      </c>
      <c r="W28" s="190">
        <v>0.9409</v>
      </c>
    </row>
    <row r="29" spans="1:23" ht="15.75">
      <c r="A29" s="121">
        <v>38047</v>
      </c>
      <c r="B29" s="127">
        <v>3.0444</v>
      </c>
      <c r="C29" s="123">
        <v>4.7683</v>
      </c>
      <c r="D29" s="123">
        <v>3.8903</v>
      </c>
      <c r="H29" s="121">
        <v>38047</v>
      </c>
      <c r="I29" s="130">
        <v>0.0026</v>
      </c>
      <c r="J29" s="131">
        <v>0.02047</v>
      </c>
      <c r="K29" s="133">
        <v>0.0112</v>
      </c>
      <c r="L29" s="174">
        <v>0.0552</v>
      </c>
      <c r="Q29" s="121">
        <v>38047</v>
      </c>
      <c r="R29" s="137">
        <v>0.018099999999999998</v>
      </c>
      <c r="V29" s="121">
        <v>38047</v>
      </c>
      <c r="W29" s="190">
        <v>0.9389</v>
      </c>
    </row>
    <row r="30" spans="1:23" ht="15.75">
      <c r="A30" s="121">
        <v>38078</v>
      </c>
      <c r="B30" s="127">
        <v>3.0602</v>
      </c>
      <c r="C30" s="123">
        <v>4.7581</v>
      </c>
      <c r="D30" s="123">
        <v>3.9587</v>
      </c>
      <c r="H30" s="121">
        <v>38078</v>
      </c>
      <c r="I30" s="130">
        <v>0.0025</v>
      </c>
      <c r="J30" s="131">
        <v>0.0196</v>
      </c>
      <c r="K30" s="133">
        <v>0.0111</v>
      </c>
      <c r="L30" s="174">
        <v>0.055</v>
      </c>
      <c r="Q30" s="121">
        <v>38078</v>
      </c>
      <c r="R30" s="137">
        <v>0.017800000000000003</v>
      </c>
      <c r="V30" s="121">
        <v>38078</v>
      </c>
      <c r="W30" s="190">
        <v>0.9331</v>
      </c>
    </row>
    <row r="31" spans="1:23" ht="15.75">
      <c r="A31" s="121">
        <v>38108</v>
      </c>
      <c r="B31" s="127">
        <v>3.0695</v>
      </c>
      <c r="C31" s="123">
        <v>4.729</v>
      </c>
      <c r="D31" s="123">
        <v>3.936</v>
      </c>
      <c r="H31" s="121">
        <v>38108</v>
      </c>
      <c r="I31" s="130">
        <v>0.002717</v>
      </c>
      <c r="J31" s="131">
        <v>0.02072</v>
      </c>
      <c r="K31" s="133">
        <v>0.0118</v>
      </c>
      <c r="L31" s="174">
        <v>0.0591</v>
      </c>
      <c r="Q31" s="121">
        <v>38108</v>
      </c>
      <c r="R31" s="137">
        <v>0.015499999999999993</v>
      </c>
      <c r="V31" s="121">
        <v>38108</v>
      </c>
      <c r="W31" s="190">
        <v>0.9178</v>
      </c>
    </row>
    <row r="32" spans="1:23" ht="15.75">
      <c r="A32" s="121">
        <v>38139</v>
      </c>
      <c r="B32" s="127">
        <v>3.0252</v>
      </c>
      <c r="C32" s="123">
        <v>4.5932</v>
      </c>
      <c r="D32" s="123">
        <v>3.7867</v>
      </c>
      <c r="H32" s="121">
        <v>38139</v>
      </c>
      <c r="I32" s="130">
        <v>0.0026</v>
      </c>
      <c r="J32" s="131">
        <v>0.02087</v>
      </c>
      <c r="K32" s="133">
        <v>0.0133</v>
      </c>
      <c r="L32" s="174">
        <v>0.0595</v>
      </c>
      <c r="Q32" s="121">
        <v>38139</v>
      </c>
      <c r="R32" s="137">
        <v>0.017</v>
      </c>
      <c r="V32" s="121">
        <v>38139</v>
      </c>
      <c r="W32" s="190">
        <v>0.8988</v>
      </c>
    </row>
    <row r="33" spans="1:23" ht="15.75">
      <c r="A33" s="121">
        <v>38169</v>
      </c>
      <c r="B33" s="127">
        <v>2.9271</v>
      </c>
      <c r="C33" s="123">
        <v>4.4686</v>
      </c>
      <c r="D33" s="123">
        <v>3.643</v>
      </c>
      <c r="H33" s="121">
        <v>38169</v>
      </c>
      <c r="I33" s="130">
        <v>0.004967</v>
      </c>
      <c r="J33" s="131">
        <v>0.02116</v>
      </c>
      <c r="K33" s="133">
        <v>0.016</v>
      </c>
      <c r="L33" s="174">
        <v>0.0618</v>
      </c>
      <c r="Q33" s="121">
        <v>38169</v>
      </c>
      <c r="R33" s="137">
        <v>0.016200000000000006</v>
      </c>
      <c r="V33" s="121">
        <v>38169</v>
      </c>
      <c r="W33" s="190">
        <v>0.8818</v>
      </c>
    </row>
    <row r="34" spans="1:23" ht="15.75">
      <c r="A34" s="121">
        <v>38200</v>
      </c>
      <c r="B34" s="127">
        <v>2.8836</v>
      </c>
      <c r="C34" s="123">
        <v>4.4355</v>
      </c>
      <c r="D34" s="123">
        <v>3.6434</v>
      </c>
      <c r="H34" s="121">
        <v>38200</v>
      </c>
      <c r="I34" s="130">
        <v>0.005333</v>
      </c>
      <c r="J34" s="131">
        <v>0.02115</v>
      </c>
      <c r="K34" s="133">
        <v>0.0169</v>
      </c>
      <c r="L34" s="174">
        <v>0.0641</v>
      </c>
      <c r="Q34" s="121">
        <v>38200</v>
      </c>
      <c r="R34" s="137">
        <v>0.016</v>
      </c>
      <c r="V34" s="121">
        <v>38200</v>
      </c>
      <c r="W34" s="190">
        <v>0.8837</v>
      </c>
    </row>
    <row r="35" spans="1:23" ht="15.75">
      <c r="A35" s="121">
        <v>38231</v>
      </c>
      <c r="B35" s="127">
        <v>2.8365</v>
      </c>
      <c r="C35" s="123">
        <v>4.3764</v>
      </c>
      <c r="D35" s="123">
        <v>3.5827</v>
      </c>
      <c r="H35" s="121">
        <v>38231</v>
      </c>
      <c r="I35" s="130">
        <v>0.00645</v>
      </c>
      <c r="J35" s="131">
        <v>0.02115</v>
      </c>
      <c r="K35" s="133">
        <v>0.018</v>
      </c>
      <c r="L35" s="174">
        <v>0.0709</v>
      </c>
      <c r="Q35" s="121">
        <v>38231</v>
      </c>
      <c r="R35" s="137">
        <v>0.012399999999999994</v>
      </c>
      <c r="V35" s="121">
        <v>38231</v>
      </c>
      <c r="W35" s="190">
        <v>0.8913</v>
      </c>
    </row>
    <row r="36" spans="1:23" ht="15.75">
      <c r="A36" s="121">
        <v>38261</v>
      </c>
      <c r="B36" s="127">
        <v>2.8032</v>
      </c>
      <c r="C36" s="123">
        <v>4.3235</v>
      </c>
      <c r="D36" s="123">
        <v>3.4602</v>
      </c>
      <c r="H36" s="121">
        <v>38261</v>
      </c>
      <c r="I36" s="130">
        <v>0.007</v>
      </c>
      <c r="J36" s="131">
        <v>0.02148</v>
      </c>
      <c r="K36" s="133">
        <v>0.0203</v>
      </c>
      <c r="L36" s="174">
        <v>0.0692</v>
      </c>
      <c r="Q36" s="121">
        <v>38261</v>
      </c>
      <c r="R36" s="137">
        <v>0.017799999999999996</v>
      </c>
      <c r="V36" s="121">
        <v>38261</v>
      </c>
      <c r="W36" s="190">
        <v>0.8856</v>
      </c>
    </row>
    <row r="37" spans="1:23" ht="15.75">
      <c r="A37" s="121">
        <v>38292</v>
      </c>
      <c r="B37" s="127">
        <v>2.8008</v>
      </c>
      <c r="C37" s="123">
        <v>4.262</v>
      </c>
      <c r="D37" s="123">
        <v>3.283</v>
      </c>
      <c r="H37" s="121">
        <v>38292</v>
      </c>
      <c r="I37" s="130">
        <v>0.007283</v>
      </c>
      <c r="J37" s="131">
        <v>0.02152</v>
      </c>
      <c r="K37" s="133">
        <v>0.0218</v>
      </c>
      <c r="L37" s="174">
        <v>0.0684</v>
      </c>
      <c r="Q37" s="121">
        <v>38292</v>
      </c>
      <c r="R37" s="137">
        <v>0.018500000000000003</v>
      </c>
      <c r="V37" s="121">
        <v>38292</v>
      </c>
      <c r="W37" s="190">
        <v>0.8744</v>
      </c>
    </row>
    <row r="38" spans="1:23" ht="15.75">
      <c r="A38" s="121">
        <v>38322</v>
      </c>
      <c r="B38" s="127">
        <v>2.6987</v>
      </c>
      <c r="C38" s="123">
        <v>4.1438</v>
      </c>
      <c r="D38" s="123">
        <v>3.0954</v>
      </c>
      <c r="H38" s="121">
        <v>38322</v>
      </c>
      <c r="I38" s="130">
        <v>0.0073</v>
      </c>
      <c r="J38" s="131">
        <v>0.02174</v>
      </c>
      <c r="K38" s="133">
        <v>0.0242</v>
      </c>
      <c r="L38" s="174">
        <v>0.0676</v>
      </c>
      <c r="Q38" s="121">
        <v>38322</v>
      </c>
      <c r="R38" s="138">
        <v>0.0179</v>
      </c>
      <c r="V38" s="121">
        <v>38322</v>
      </c>
      <c r="W38" s="190">
        <v>0.8688</v>
      </c>
    </row>
    <row r="39" spans="1:23" ht="15.75">
      <c r="A39" s="121">
        <v>38353</v>
      </c>
      <c r="B39" s="127">
        <v>2.639</v>
      </c>
      <c r="C39" s="127">
        <v>4.0816</v>
      </c>
      <c r="D39" s="123">
        <v>3.1033</v>
      </c>
      <c r="H39" s="121">
        <v>38353</v>
      </c>
      <c r="I39" s="130">
        <v>0.0071</v>
      </c>
      <c r="J39" s="130">
        <v>0.02151</v>
      </c>
      <c r="K39" s="133">
        <v>0.0257</v>
      </c>
      <c r="L39" s="174">
        <v>0.0663</v>
      </c>
      <c r="Q39" s="121">
        <v>38353</v>
      </c>
      <c r="R39" s="137">
        <v>0.017600000000000005</v>
      </c>
      <c r="V39" s="121">
        <v>38353</v>
      </c>
      <c r="W39" s="190">
        <v>0.8669</v>
      </c>
    </row>
    <row r="40" spans="1:23" ht="15.75">
      <c r="A40" s="121">
        <v>38384</v>
      </c>
      <c r="B40" s="127">
        <v>2.5698</v>
      </c>
      <c r="C40" s="127">
        <v>3.9841</v>
      </c>
      <c r="D40" s="123">
        <v>3.0601</v>
      </c>
      <c r="H40" s="121">
        <v>38384</v>
      </c>
      <c r="I40" s="130">
        <v>0.0075</v>
      </c>
      <c r="J40" s="130">
        <v>0.02142</v>
      </c>
      <c r="K40" s="133">
        <v>0.0275</v>
      </c>
      <c r="L40" s="174">
        <v>0.0654</v>
      </c>
      <c r="Q40" s="121">
        <v>38384</v>
      </c>
      <c r="R40" s="137">
        <v>0.016700000000000007</v>
      </c>
      <c r="V40" s="121">
        <v>38384</v>
      </c>
      <c r="W40" s="190">
        <v>0.8651</v>
      </c>
    </row>
    <row r="41" spans="1:23" ht="15.75">
      <c r="A41" s="121">
        <v>38412</v>
      </c>
      <c r="B41" s="127">
        <v>2.5945</v>
      </c>
      <c r="C41" s="127">
        <v>4.0209</v>
      </c>
      <c r="D41" s="123">
        <v>3.0492</v>
      </c>
      <c r="H41" s="121">
        <v>38412</v>
      </c>
      <c r="I41" s="130">
        <v>0.007583</v>
      </c>
      <c r="J41" s="130">
        <v>0.02136</v>
      </c>
      <c r="K41" s="133">
        <v>0.0293</v>
      </c>
      <c r="L41" s="174">
        <v>0.0615</v>
      </c>
      <c r="Q41" s="121">
        <v>38412</v>
      </c>
      <c r="R41" s="137">
        <v>0.020600000000000007</v>
      </c>
      <c r="V41" s="121">
        <v>38412</v>
      </c>
      <c r="W41" s="190">
        <v>0.8669</v>
      </c>
    </row>
    <row r="42" spans="1:23" ht="15.75">
      <c r="A42" s="121">
        <v>38443</v>
      </c>
      <c r="B42" s="127">
        <v>2.6821</v>
      </c>
      <c r="C42" s="127">
        <v>4.151</v>
      </c>
      <c r="D42" s="123">
        <v>3.2053</v>
      </c>
      <c r="H42" s="121">
        <v>38443</v>
      </c>
      <c r="I42" s="130">
        <v>0.0077</v>
      </c>
      <c r="J42" s="130">
        <v>0.02147</v>
      </c>
      <c r="K42" s="133">
        <v>0.0312</v>
      </c>
      <c r="L42" s="174">
        <v>0.0578</v>
      </c>
      <c r="Q42" s="121">
        <v>38443</v>
      </c>
      <c r="R42" s="137">
        <v>0.016900000000000005</v>
      </c>
      <c r="V42" s="121">
        <v>38443</v>
      </c>
      <c r="W42" s="190">
        <v>0.8651</v>
      </c>
    </row>
    <row r="43" spans="1:23" ht="15.75">
      <c r="A43" s="121">
        <v>38473</v>
      </c>
      <c r="B43" s="127">
        <v>2.7075</v>
      </c>
      <c r="C43" s="127">
        <v>4.1827</v>
      </c>
      <c r="D43" s="123">
        <v>3.2909</v>
      </c>
      <c r="H43" s="121">
        <v>38473</v>
      </c>
      <c r="I43" s="130">
        <v>0.0076</v>
      </c>
      <c r="J43" s="130">
        <v>0.02126</v>
      </c>
      <c r="K43" s="133">
        <v>0.0322</v>
      </c>
      <c r="L43" s="174">
        <v>0.0548</v>
      </c>
      <c r="Q43" s="121">
        <v>38473</v>
      </c>
      <c r="R43" s="137">
        <v>0.0218</v>
      </c>
      <c r="V43" s="121">
        <v>38473</v>
      </c>
      <c r="W43" s="190">
        <v>0.8576</v>
      </c>
    </row>
    <row r="44" spans="1:23" ht="15.75">
      <c r="A44" s="121">
        <v>38504</v>
      </c>
      <c r="B44" s="127">
        <v>2.6396</v>
      </c>
      <c r="C44" s="127">
        <v>4.0603</v>
      </c>
      <c r="D44" s="123">
        <v>3.3365</v>
      </c>
      <c r="H44" s="121">
        <v>38504</v>
      </c>
      <c r="I44" s="130">
        <v>0.0075</v>
      </c>
      <c r="J44" s="130">
        <v>0.02124</v>
      </c>
      <c r="K44" s="133">
        <v>0.0335</v>
      </c>
      <c r="L44" s="174">
        <v>0.0522</v>
      </c>
      <c r="Q44" s="121">
        <v>38504</v>
      </c>
      <c r="R44" s="137">
        <v>0.01589999999999999</v>
      </c>
      <c r="V44" s="121">
        <v>38504</v>
      </c>
      <c r="W44" s="190">
        <v>0.8521</v>
      </c>
    </row>
    <row r="45" spans="1:23" ht="15.75">
      <c r="A45" s="121">
        <v>38534</v>
      </c>
      <c r="B45" s="127">
        <v>2.6297</v>
      </c>
      <c r="C45" s="127">
        <v>4.0973</v>
      </c>
      <c r="D45" s="123">
        <v>3.3992</v>
      </c>
      <c r="H45" s="121">
        <v>38534</v>
      </c>
      <c r="I45" s="130">
        <v>0.007467</v>
      </c>
      <c r="J45" s="130">
        <v>0.02107</v>
      </c>
      <c r="K45" s="133">
        <v>0.0353</v>
      </c>
      <c r="L45" s="174">
        <v>0.0468</v>
      </c>
      <c r="Q45" s="121">
        <v>38534</v>
      </c>
      <c r="R45" s="137">
        <v>0.0177</v>
      </c>
      <c r="V45" s="121">
        <v>38534</v>
      </c>
      <c r="W45" s="190">
        <v>0.8558</v>
      </c>
    </row>
    <row r="46" spans="1:23" ht="15.75">
      <c r="A46" s="121">
        <v>38565</v>
      </c>
      <c r="B46" s="127">
        <v>2.6048</v>
      </c>
      <c r="C46" s="127">
        <v>4.045</v>
      </c>
      <c r="D46" s="123">
        <v>3.2871</v>
      </c>
      <c r="H46" s="121">
        <v>38565</v>
      </c>
      <c r="I46" s="130">
        <v>0.007567</v>
      </c>
      <c r="J46" s="130">
        <v>0.02126</v>
      </c>
      <c r="K46" s="133">
        <v>0.0371</v>
      </c>
      <c r="L46" s="174">
        <v>0.0467</v>
      </c>
      <c r="Q46" s="121">
        <v>38565</v>
      </c>
      <c r="R46" s="137">
        <v>0.0182</v>
      </c>
      <c r="V46" s="121">
        <v>38565</v>
      </c>
      <c r="W46" s="190">
        <v>0.8595</v>
      </c>
    </row>
    <row r="47" spans="1:23" ht="15.75">
      <c r="A47" s="121">
        <v>38596</v>
      </c>
      <c r="B47" s="128">
        <v>2.5338</v>
      </c>
      <c r="C47" s="128">
        <v>3.9247</v>
      </c>
      <c r="D47" s="123">
        <v>3.1952</v>
      </c>
      <c r="H47" s="121">
        <v>38596</v>
      </c>
      <c r="I47" s="130">
        <v>0.0076</v>
      </c>
      <c r="J47" s="130">
        <v>0.02133</v>
      </c>
      <c r="K47" s="133">
        <v>0.0386</v>
      </c>
      <c r="L47" s="174">
        <v>0.0451</v>
      </c>
      <c r="Q47" s="121">
        <v>38596</v>
      </c>
      <c r="R47" s="137">
        <v>0.0167</v>
      </c>
      <c r="V47" s="121">
        <v>38596</v>
      </c>
      <c r="W47" s="190">
        <v>0.8614</v>
      </c>
    </row>
    <row r="48" spans="1:23" ht="15.75">
      <c r="A48" s="121">
        <v>38626</v>
      </c>
      <c r="B48" s="127">
        <v>2.5343</v>
      </c>
      <c r="C48" s="127">
        <v>3.9261</v>
      </c>
      <c r="D48" s="123">
        <v>3.26</v>
      </c>
      <c r="H48" s="121">
        <v>38626</v>
      </c>
      <c r="I48" s="130">
        <v>0.007983</v>
      </c>
      <c r="J48" s="130">
        <v>0.02178</v>
      </c>
      <c r="K48" s="133">
        <v>0.0408</v>
      </c>
      <c r="L48" s="174">
        <v>0.0455</v>
      </c>
      <c r="Q48" s="121">
        <v>38626</v>
      </c>
      <c r="R48" s="137">
        <v>0.017600000000000005</v>
      </c>
      <c r="V48" s="121">
        <v>38626</v>
      </c>
      <c r="W48" s="190">
        <v>0.8539</v>
      </c>
    </row>
    <row r="49" spans="1:23" ht="15.75">
      <c r="A49" s="121">
        <v>38657</v>
      </c>
      <c r="B49" s="127">
        <v>2.5703</v>
      </c>
      <c r="C49" s="127">
        <v>3.9721</v>
      </c>
      <c r="D49" s="123">
        <v>3.3672</v>
      </c>
      <c r="H49" s="121">
        <v>38657</v>
      </c>
      <c r="I49" s="130">
        <v>0.0087</v>
      </c>
      <c r="J49" s="130">
        <v>0.02264</v>
      </c>
      <c r="K49" s="133">
        <v>0.0426</v>
      </c>
      <c r="L49" s="174">
        <v>0.0464</v>
      </c>
      <c r="Q49" s="121">
        <v>38657</v>
      </c>
      <c r="R49" s="137">
        <v>0.015300000000000001</v>
      </c>
      <c r="V49" s="121">
        <v>38657</v>
      </c>
      <c r="W49" s="190">
        <v>0.8466</v>
      </c>
    </row>
    <row r="50" spans="1:23" ht="15.75">
      <c r="A50" s="121">
        <v>38687</v>
      </c>
      <c r="B50" s="127">
        <v>2.4909</v>
      </c>
      <c r="C50" s="127">
        <v>3.8559</v>
      </c>
      <c r="D50" s="123">
        <v>3.2518</v>
      </c>
      <c r="H50" s="121">
        <v>38687</v>
      </c>
      <c r="I50" s="130">
        <v>0.010417</v>
      </c>
      <c r="J50" s="130">
        <v>0.02474</v>
      </c>
      <c r="K50" s="133">
        <v>0.0444</v>
      </c>
      <c r="L50" s="174">
        <v>0.0462</v>
      </c>
      <c r="Q50" s="121">
        <v>38687</v>
      </c>
      <c r="R50" s="137">
        <v>0.0167</v>
      </c>
      <c r="V50" s="121">
        <v>38687</v>
      </c>
      <c r="W50" s="190">
        <v>0.8503</v>
      </c>
    </row>
    <row r="51" spans="1:23" ht="15.75">
      <c r="A51" s="121">
        <v>38718</v>
      </c>
      <c r="B51" s="127">
        <v>2.4678</v>
      </c>
      <c r="C51" s="127">
        <v>3.8245</v>
      </c>
      <c r="D51" s="123">
        <v>3.1599</v>
      </c>
      <c r="H51" s="121">
        <v>38718</v>
      </c>
      <c r="I51" s="130">
        <v>0.0101</v>
      </c>
      <c r="J51" s="130">
        <v>0.02488</v>
      </c>
      <c r="K51" s="133">
        <v>0.0454</v>
      </c>
      <c r="L51" s="174">
        <v>0.0449</v>
      </c>
      <c r="Q51" s="121">
        <v>38718</v>
      </c>
      <c r="R51" s="137">
        <v>0.016399999999999998</v>
      </c>
      <c r="V51" s="121">
        <v>38718</v>
      </c>
      <c r="W51" s="190">
        <v>0.854</v>
      </c>
    </row>
    <row r="52" spans="1:23" ht="15.75">
      <c r="A52" s="121">
        <v>38749</v>
      </c>
      <c r="B52" s="127">
        <v>2.4352</v>
      </c>
      <c r="C52" s="127">
        <v>3.7937</v>
      </c>
      <c r="D52" s="123">
        <v>3.1744</v>
      </c>
      <c r="H52" s="121">
        <v>38749</v>
      </c>
      <c r="I52" s="130">
        <v>0.0109</v>
      </c>
      <c r="J52" s="130">
        <v>0.02554</v>
      </c>
      <c r="K52" s="133">
        <v>0.0469</v>
      </c>
      <c r="L52" s="174">
        <v>0.0426</v>
      </c>
      <c r="Q52" s="121">
        <v>38749</v>
      </c>
      <c r="R52" s="137">
        <v>0.016399999999999998</v>
      </c>
      <c r="V52" s="121">
        <v>38749</v>
      </c>
      <c r="W52" s="190">
        <v>0.8503</v>
      </c>
    </row>
    <row r="53" spans="1:23" ht="15.75">
      <c r="A53" s="121">
        <v>38777</v>
      </c>
      <c r="B53" s="127">
        <v>2.4696</v>
      </c>
      <c r="C53" s="127">
        <v>3.8748</v>
      </c>
      <c r="D53" s="123">
        <v>3.2229</v>
      </c>
      <c r="H53" s="121">
        <v>38777</v>
      </c>
      <c r="I53" s="130">
        <v>0.0121</v>
      </c>
      <c r="J53" s="130">
        <v>0.02666</v>
      </c>
      <c r="K53" s="133">
        <v>0.0483</v>
      </c>
      <c r="L53" s="174">
        <v>0.0412</v>
      </c>
      <c r="Q53" s="121">
        <v>38777</v>
      </c>
      <c r="R53" s="139">
        <v>0.016800000000000002</v>
      </c>
      <c r="V53" s="121">
        <v>38777</v>
      </c>
      <c r="W53" s="190">
        <v>0.8503</v>
      </c>
    </row>
    <row r="54" spans="1:23" ht="15.75">
      <c r="A54" s="121">
        <v>38808</v>
      </c>
      <c r="B54" s="127">
        <v>2.4886</v>
      </c>
      <c r="C54" s="127">
        <v>3.9194</v>
      </c>
      <c r="D54" s="123">
        <v>3.1982</v>
      </c>
      <c r="H54" s="121">
        <v>38808</v>
      </c>
      <c r="I54" s="130">
        <v>0.0128</v>
      </c>
      <c r="J54" s="130">
        <v>0.02818</v>
      </c>
      <c r="K54" s="133">
        <v>0.05</v>
      </c>
      <c r="L54" s="174">
        <v>0.0414</v>
      </c>
      <c r="Q54" s="121">
        <v>38808</v>
      </c>
      <c r="R54" s="139">
        <v>0.0155</v>
      </c>
      <c r="V54" s="121">
        <v>38808</v>
      </c>
      <c r="W54" s="190">
        <v>0.8521</v>
      </c>
    </row>
    <row r="55" spans="1:23" ht="15.75">
      <c r="A55" s="121">
        <v>38838</v>
      </c>
      <c r="B55" s="128">
        <v>2.501</v>
      </c>
      <c r="C55" s="128">
        <v>3.8941</v>
      </c>
      <c r="D55" s="123">
        <v>3.0491</v>
      </c>
      <c r="H55" s="121">
        <v>38838</v>
      </c>
      <c r="I55" s="130">
        <v>0.0141</v>
      </c>
      <c r="J55" s="130">
        <v>0.0286</v>
      </c>
      <c r="K55" s="133">
        <v>0.0515</v>
      </c>
      <c r="L55" s="174">
        <v>0.0415</v>
      </c>
      <c r="Q55" s="121">
        <v>38838</v>
      </c>
      <c r="R55" s="139">
        <v>0.015099999999999995</v>
      </c>
      <c r="V55" s="121">
        <v>38838</v>
      </c>
      <c r="W55" s="190">
        <v>0.8392</v>
      </c>
    </row>
    <row r="56" spans="1:23" ht="15.75">
      <c r="A56" s="121">
        <v>38869</v>
      </c>
      <c r="B56" s="127">
        <v>2.5742</v>
      </c>
      <c r="C56" s="127">
        <v>4.0164</v>
      </c>
      <c r="D56" s="123">
        <v>3.1713</v>
      </c>
      <c r="H56" s="121">
        <v>38869</v>
      </c>
      <c r="I56" s="130">
        <v>0.0148</v>
      </c>
      <c r="J56" s="130">
        <v>0.02944</v>
      </c>
      <c r="K56" s="133">
        <v>0.0527</v>
      </c>
      <c r="L56" s="174">
        <v>0.0417</v>
      </c>
      <c r="Q56" s="121">
        <v>38869</v>
      </c>
      <c r="R56" s="139">
        <v>0.015100000000000002</v>
      </c>
      <c r="V56" s="121">
        <v>38869</v>
      </c>
      <c r="W56" s="190">
        <v>0.8301</v>
      </c>
    </row>
    <row r="57" spans="1:23" ht="15.75">
      <c r="A57" s="121">
        <v>38899</v>
      </c>
      <c r="B57" s="128">
        <v>2.5482</v>
      </c>
      <c r="C57" s="128">
        <v>3.997</v>
      </c>
      <c r="D57" s="123">
        <v>3.1492</v>
      </c>
      <c r="H57" s="121">
        <v>38899</v>
      </c>
      <c r="I57" s="130">
        <v>0.0153</v>
      </c>
      <c r="J57" s="130">
        <v>0.03055</v>
      </c>
      <c r="K57" s="133">
        <v>0.0548</v>
      </c>
      <c r="L57" s="174">
        <v>0.0419</v>
      </c>
      <c r="Q57" s="121">
        <v>38899</v>
      </c>
      <c r="R57" s="139">
        <v>0.015499999999999993</v>
      </c>
      <c r="V57" s="121">
        <v>38899</v>
      </c>
      <c r="W57" s="190">
        <v>0.8356</v>
      </c>
    </row>
    <row r="58" spans="1:23" ht="15.75">
      <c r="A58" s="121">
        <v>38930</v>
      </c>
      <c r="B58" s="127">
        <v>2.4725</v>
      </c>
      <c r="C58" s="127">
        <v>3.9014</v>
      </c>
      <c r="D58" s="123">
        <v>3.0454</v>
      </c>
      <c r="H58" s="121">
        <v>38930</v>
      </c>
      <c r="I58" s="130">
        <v>0.0161</v>
      </c>
      <c r="J58" s="130">
        <v>0.0317</v>
      </c>
      <c r="K58" s="133">
        <v>0.0547</v>
      </c>
      <c r="L58" s="174">
        <v>0.0419</v>
      </c>
      <c r="Q58" s="121">
        <v>38930</v>
      </c>
      <c r="R58" s="139">
        <v>0.015599999999999996</v>
      </c>
      <c r="V58" s="121">
        <v>38930</v>
      </c>
      <c r="W58" s="190">
        <v>0.8356</v>
      </c>
    </row>
    <row r="59" spans="1:23" ht="15.75">
      <c r="A59" s="121">
        <v>38961</v>
      </c>
      <c r="B59" s="128">
        <v>2.5062</v>
      </c>
      <c r="C59" s="128">
        <v>3.9702</v>
      </c>
      <c r="D59" s="123">
        <v>3.1153</v>
      </c>
      <c r="H59" s="121">
        <v>38961</v>
      </c>
      <c r="I59" s="130">
        <v>0.0167</v>
      </c>
      <c r="J59" s="130">
        <v>0.03267</v>
      </c>
      <c r="K59" s="133">
        <v>0.0539</v>
      </c>
      <c r="L59" s="174">
        <v>0.0421</v>
      </c>
      <c r="Q59" s="121">
        <v>38961</v>
      </c>
      <c r="R59" s="139">
        <v>0.015</v>
      </c>
      <c r="V59" s="121">
        <v>38961</v>
      </c>
      <c r="W59" s="190">
        <v>0.8301</v>
      </c>
    </row>
    <row r="60" spans="1:23" ht="15.75">
      <c r="A60" s="121">
        <v>38991</v>
      </c>
      <c r="B60" s="127">
        <v>2.4547</v>
      </c>
      <c r="C60" s="127">
        <v>3.9026</v>
      </c>
      <c r="D60" s="123">
        <v>3.0919</v>
      </c>
      <c r="H60" s="121">
        <v>38991</v>
      </c>
      <c r="I60" s="130">
        <v>0.0181</v>
      </c>
      <c r="J60" s="130">
        <v>0.03424</v>
      </c>
      <c r="K60" s="133">
        <v>0.0537</v>
      </c>
      <c r="L60" s="174">
        <v>0.0422</v>
      </c>
      <c r="Q60" s="121">
        <v>38991</v>
      </c>
      <c r="R60" s="139">
        <v>0.014200000000000004</v>
      </c>
      <c r="V60" s="121">
        <v>38991</v>
      </c>
      <c r="W60" s="190">
        <v>0.8265</v>
      </c>
    </row>
    <row r="61" spans="1:23" ht="15.75">
      <c r="A61" s="121">
        <v>39022</v>
      </c>
      <c r="B61" s="127">
        <v>2.4055</v>
      </c>
      <c r="C61" s="127">
        <v>3.8299</v>
      </c>
      <c r="D61" s="123">
        <v>2.9735</v>
      </c>
      <c r="H61" s="121">
        <v>39022</v>
      </c>
      <c r="I61" s="130">
        <v>0.0181</v>
      </c>
      <c r="J61" s="130">
        <v>0.03563</v>
      </c>
      <c r="K61" s="133">
        <v>0.0537</v>
      </c>
      <c r="L61" s="174">
        <v>0.042</v>
      </c>
      <c r="Q61" s="121">
        <v>39022</v>
      </c>
      <c r="R61" s="139">
        <v>0.014399999999999996</v>
      </c>
      <c r="V61" s="121">
        <v>39022</v>
      </c>
      <c r="W61" s="190">
        <v>0.8246</v>
      </c>
    </row>
    <row r="62" spans="1:23" ht="15.75">
      <c r="A62" s="121">
        <v>39052</v>
      </c>
      <c r="B62" s="127">
        <v>2.3874</v>
      </c>
      <c r="C62" s="127">
        <v>3.813</v>
      </c>
      <c r="D62" s="123">
        <v>2.8868</v>
      </c>
      <c r="H62" s="121">
        <v>39052</v>
      </c>
      <c r="I62" s="130">
        <v>0.0194</v>
      </c>
      <c r="J62" s="130">
        <v>0.03638</v>
      </c>
      <c r="K62" s="133">
        <v>0.0537</v>
      </c>
      <c r="L62" s="174">
        <v>0.042</v>
      </c>
      <c r="Q62" s="121">
        <v>39052</v>
      </c>
      <c r="R62" s="139">
        <v>0.013999999999999999</v>
      </c>
      <c r="V62" s="121">
        <v>39052</v>
      </c>
      <c r="W62" s="190">
        <v>0.8246</v>
      </c>
    </row>
    <row r="63" spans="1:23" ht="15.75">
      <c r="A63" s="121">
        <v>39083</v>
      </c>
      <c r="B63" s="127">
        <v>2.4015</v>
      </c>
      <c r="C63" s="127">
        <v>3.8787</v>
      </c>
      <c r="D63" s="123">
        <v>2.9837</v>
      </c>
      <c r="H63" s="121">
        <v>39083</v>
      </c>
      <c r="I63" s="130">
        <v>0.021</v>
      </c>
      <c r="J63" s="130">
        <v>0.03725</v>
      </c>
      <c r="K63" s="133">
        <v>0.0536</v>
      </c>
      <c r="L63" s="174">
        <v>0.042</v>
      </c>
      <c r="Q63" s="121">
        <v>39083</v>
      </c>
      <c r="R63" s="139">
        <v>0.0138</v>
      </c>
      <c r="V63" s="121">
        <v>39083</v>
      </c>
      <c r="W63" s="190">
        <v>0.8283</v>
      </c>
    </row>
    <row r="64" spans="1:23" ht="15.75">
      <c r="A64" s="121">
        <v>39114</v>
      </c>
      <c r="B64" s="127">
        <v>2.4018</v>
      </c>
      <c r="C64" s="127">
        <v>3.8958</v>
      </c>
      <c r="D64" s="123">
        <v>2.9805</v>
      </c>
      <c r="H64" s="121">
        <v>39114</v>
      </c>
      <c r="I64" s="130">
        <v>0.021</v>
      </c>
      <c r="J64" s="130">
        <v>0.03785</v>
      </c>
      <c r="K64" s="133">
        <v>0.0536</v>
      </c>
      <c r="L64" s="174">
        <v>0.042</v>
      </c>
      <c r="Q64" s="121">
        <v>39114</v>
      </c>
      <c r="R64" s="139">
        <v>0.013399999999999995</v>
      </c>
      <c r="V64" s="121">
        <v>39114</v>
      </c>
      <c r="W64" s="190">
        <v>0.821</v>
      </c>
    </row>
    <row r="65" spans="1:23" ht="15.75">
      <c r="A65" s="121">
        <v>39142</v>
      </c>
      <c r="B65" s="127">
        <v>2.4101</v>
      </c>
      <c r="C65" s="127">
        <v>3.8869</v>
      </c>
      <c r="D65" s="123">
        <v>2.9359</v>
      </c>
      <c r="H65" s="121">
        <v>39142</v>
      </c>
      <c r="I65" s="130">
        <v>0.0223</v>
      </c>
      <c r="J65" s="130">
        <v>0.03856</v>
      </c>
      <c r="K65" s="133">
        <v>0.0535</v>
      </c>
      <c r="L65" s="174">
        <v>0.0422</v>
      </c>
      <c r="Q65" s="121">
        <v>39142</v>
      </c>
      <c r="R65" s="139">
        <v>0.013600000000000008</v>
      </c>
      <c r="V65" s="121">
        <v>39142</v>
      </c>
      <c r="W65" s="190">
        <v>0.8156</v>
      </c>
    </row>
    <row r="66" spans="1:23" ht="15.75">
      <c r="A66" s="121">
        <v>39173</v>
      </c>
      <c r="B66" s="127">
        <v>2.3331</v>
      </c>
      <c r="C66" s="127">
        <v>3.8192</v>
      </c>
      <c r="D66" s="123">
        <v>2.8279</v>
      </c>
      <c r="H66" s="121">
        <v>39173</v>
      </c>
      <c r="I66" s="130">
        <v>0.0223</v>
      </c>
      <c r="J66" s="130">
        <v>0.03927</v>
      </c>
      <c r="K66" s="133">
        <v>0.0535</v>
      </c>
      <c r="L66" s="174">
        <v>0.0432</v>
      </c>
      <c r="Q66" s="121">
        <v>39173</v>
      </c>
      <c r="R66" s="139">
        <v>0.014199999999999997</v>
      </c>
      <c r="V66" s="121">
        <v>39173</v>
      </c>
      <c r="W66" s="190">
        <v>0.8065</v>
      </c>
    </row>
    <row r="67" spans="1:23" ht="15.75">
      <c r="A67" s="121">
        <v>39203</v>
      </c>
      <c r="B67" s="128">
        <v>2.2928</v>
      </c>
      <c r="C67" s="128">
        <v>3.7824</v>
      </c>
      <c r="D67" s="123">
        <v>2.7997</v>
      </c>
      <c r="H67" s="121">
        <v>39203</v>
      </c>
      <c r="I67" s="130">
        <v>0.0235</v>
      </c>
      <c r="J67" s="130">
        <v>0.04023</v>
      </c>
      <c r="K67" s="133">
        <v>0.0536</v>
      </c>
      <c r="L67" s="174">
        <v>0.0444</v>
      </c>
      <c r="Q67" s="121">
        <v>39203</v>
      </c>
      <c r="R67" s="139">
        <v>0.0126</v>
      </c>
      <c r="V67" s="121">
        <v>39203</v>
      </c>
      <c r="W67" s="190">
        <v>0.7975</v>
      </c>
    </row>
    <row r="68" spans="1:23" ht="15.75">
      <c r="A68" s="121">
        <v>39234</v>
      </c>
      <c r="B68" s="127">
        <v>2.3022</v>
      </c>
      <c r="C68" s="127">
        <v>3.8079</v>
      </c>
      <c r="D68" s="123">
        <v>2.8399</v>
      </c>
      <c r="H68" s="121">
        <v>39234</v>
      </c>
      <c r="I68" s="130">
        <v>0.0247</v>
      </c>
      <c r="J68" s="130">
        <v>0.04124</v>
      </c>
      <c r="K68" s="133">
        <v>0.0536</v>
      </c>
      <c r="L68" s="174">
        <v>0.0452</v>
      </c>
      <c r="Q68" s="121">
        <v>39234</v>
      </c>
      <c r="R68" s="139">
        <v>0.013000000000000005</v>
      </c>
      <c r="V68" s="121">
        <v>39234</v>
      </c>
      <c r="W68" s="190">
        <v>0.7886</v>
      </c>
    </row>
    <row r="69" spans="1:23" ht="15.75">
      <c r="A69" s="121">
        <v>39264</v>
      </c>
      <c r="B69" s="128">
        <v>2.2738</v>
      </c>
      <c r="C69" s="128">
        <v>3.7685</v>
      </c>
      <c r="D69" s="123">
        <v>2.75</v>
      </c>
      <c r="H69" s="121">
        <v>39264</v>
      </c>
      <c r="I69" s="130">
        <v>0.027</v>
      </c>
      <c r="J69" s="130">
        <v>0.04176</v>
      </c>
      <c r="K69" s="133">
        <v>0.0536</v>
      </c>
      <c r="L69" s="174">
        <v>0.0478</v>
      </c>
      <c r="Q69" s="121">
        <v>39264</v>
      </c>
      <c r="R69" s="139">
        <v>0.0121</v>
      </c>
      <c r="V69" s="121">
        <v>39264</v>
      </c>
      <c r="W69" s="190">
        <v>0.7886</v>
      </c>
    </row>
    <row r="70" spans="1:23" ht="15.75">
      <c r="A70" s="121">
        <v>39295</v>
      </c>
      <c r="B70" s="127">
        <v>2.3268</v>
      </c>
      <c r="C70" s="127">
        <v>3.81</v>
      </c>
      <c r="D70" s="123">
        <v>2.7981</v>
      </c>
      <c r="H70" s="121">
        <v>39295</v>
      </c>
      <c r="I70" s="130">
        <v>0.027</v>
      </c>
      <c r="J70" s="130">
        <v>0.04264</v>
      </c>
      <c r="K70" s="133">
        <v>0.0536</v>
      </c>
      <c r="L70" s="174">
        <v>0.0491</v>
      </c>
      <c r="Q70" s="121">
        <v>39295</v>
      </c>
      <c r="R70" s="139">
        <v>0.01369999999999999</v>
      </c>
      <c r="V70" s="121">
        <v>39295</v>
      </c>
      <c r="W70" s="190">
        <v>0.794</v>
      </c>
    </row>
    <row r="71" spans="1:23" ht="15.75">
      <c r="A71" s="121">
        <v>39326</v>
      </c>
      <c r="B71" s="128">
        <v>2.2995</v>
      </c>
      <c r="C71" s="128">
        <v>3.7899</v>
      </c>
      <c r="D71" s="123">
        <v>2.7286</v>
      </c>
      <c r="H71" s="121">
        <v>39326</v>
      </c>
      <c r="I71" s="130">
        <v>0.029</v>
      </c>
      <c r="J71" s="130">
        <v>0.04741</v>
      </c>
      <c r="K71" s="133">
        <v>0.0567</v>
      </c>
      <c r="L71" s="174">
        <v>0.0509</v>
      </c>
      <c r="Q71" s="121">
        <v>39326</v>
      </c>
      <c r="R71" s="139">
        <v>0.012800000000000006</v>
      </c>
      <c r="V71" s="121">
        <v>39326</v>
      </c>
      <c r="W71" s="190">
        <v>0.8012</v>
      </c>
    </row>
    <row r="72" spans="1:23" ht="15.75">
      <c r="A72" s="121">
        <v>39356</v>
      </c>
      <c r="B72" s="127">
        <v>2.2177</v>
      </c>
      <c r="C72" s="127">
        <v>3.7052</v>
      </c>
      <c r="D72" s="123">
        <v>2.6042</v>
      </c>
      <c r="H72" s="121">
        <v>39356</v>
      </c>
      <c r="I72" s="130">
        <v>0.0278</v>
      </c>
      <c r="J72" s="130">
        <v>0.04791</v>
      </c>
      <c r="K72" s="133">
        <v>0.0523</v>
      </c>
      <c r="L72" s="174">
        <v>0.0513</v>
      </c>
      <c r="Q72" s="121">
        <v>39356</v>
      </c>
      <c r="R72" s="139">
        <v>0.014399999999999996</v>
      </c>
      <c r="V72" s="121">
        <v>39356</v>
      </c>
      <c r="W72" s="190">
        <v>0.7869</v>
      </c>
    </row>
    <row r="73" spans="1:23" ht="15.75">
      <c r="A73" s="121">
        <v>39387</v>
      </c>
      <c r="B73" s="127">
        <v>2.2179</v>
      </c>
      <c r="C73" s="127">
        <v>3.6556</v>
      </c>
      <c r="D73" s="123">
        <v>2.4915</v>
      </c>
      <c r="H73" s="121">
        <v>39387</v>
      </c>
      <c r="I73" s="130">
        <v>0.0278</v>
      </c>
      <c r="J73" s="130">
        <v>0.04598</v>
      </c>
      <c r="K73" s="133">
        <v>0.0488</v>
      </c>
      <c r="L73" s="174">
        <v>0.0536</v>
      </c>
      <c r="Q73" s="121">
        <v>39387</v>
      </c>
      <c r="R73" s="139">
        <v>0.012900000000000002</v>
      </c>
      <c r="V73" s="121">
        <v>39387</v>
      </c>
      <c r="W73" s="190">
        <v>0.7762</v>
      </c>
    </row>
    <row r="74" spans="1:23" ht="15.75">
      <c r="A74" s="121">
        <v>39417</v>
      </c>
      <c r="B74" s="127">
        <v>2.1721</v>
      </c>
      <c r="C74" s="127">
        <v>3.6042</v>
      </c>
      <c r="D74" s="123">
        <v>2.4754</v>
      </c>
      <c r="H74" s="121">
        <v>39417</v>
      </c>
      <c r="I74" s="130">
        <v>0.0278</v>
      </c>
      <c r="J74" s="130">
        <v>0.04839</v>
      </c>
      <c r="K74" s="133">
        <v>0.0514</v>
      </c>
      <c r="L74" s="174">
        <v>0.0567</v>
      </c>
      <c r="Q74" s="121">
        <v>39417</v>
      </c>
      <c r="R74" s="139">
        <v>0.011999999999999997</v>
      </c>
      <c r="V74" s="121">
        <v>39417</v>
      </c>
      <c r="W74" s="190">
        <v>0.7639</v>
      </c>
    </row>
    <row r="75" spans="1:23" ht="15.75">
      <c r="A75" s="121">
        <v>39448</v>
      </c>
      <c r="B75" s="128">
        <v>2.2244</v>
      </c>
      <c r="C75" s="128">
        <v>3.608</v>
      </c>
      <c r="D75" s="123">
        <v>2.4537</v>
      </c>
      <c r="H75" s="121">
        <v>39448</v>
      </c>
      <c r="I75" s="130">
        <v>0.0278</v>
      </c>
      <c r="J75" s="130">
        <v>0.04644</v>
      </c>
      <c r="K75" s="133">
        <v>0.0468</v>
      </c>
      <c r="L75" s="174">
        <v>0.0564</v>
      </c>
      <c r="Q75" s="121">
        <v>39448</v>
      </c>
      <c r="R75" s="139">
        <v>0.0133</v>
      </c>
      <c r="V75" s="121">
        <v>39448</v>
      </c>
      <c r="W75" s="190">
        <v>0.7586</v>
      </c>
    </row>
    <row r="76" spans="1:23" ht="15.75">
      <c r="A76" s="121">
        <v>39479</v>
      </c>
      <c r="B76" s="128">
        <v>2.2278</v>
      </c>
      <c r="C76" s="128">
        <v>3.5825</v>
      </c>
      <c r="D76" s="123">
        <v>2.4305</v>
      </c>
      <c r="H76" s="121">
        <v>39479</v>
      </c>
      <c r="I76" s="130">
        <v>0.0266</v>
      </c>
      <c r="J76" s="130">
        <v>0.04367</v>
      </c>
      <c r="K76" s="133">
        <v>0.031</v>
      </c>
      <c r="L76" s="174">
        <v>0.0574</v>
      </c>
      <c r="Q76" s="121">
        <v>39479</v>
      </c>
      <c r="R76" s="139">
        <v>0.014500000000000006</v>
      </c>
      <c r="V76" s="121">
        <v>39479</v>
      </c>
      <c r="W76" s="190">
        <v>0.7464</v>
      </c>
    </row>
    <row r="77" spans="1:23" ht="15.75">
      <c r="A77" s="121">
        <v>39508</v>
      </c>
      <c r="B77" s="128">
        <v>2.251</v>
      </c>
      <c r="C77" s="128">
        <v>3.5374</v>
      </c>
      <c r="D77" s="123">
        <v>2.2816</v>
      </c>
      <c r="H77" s="121">
        <v>39508</v>
      </c>
      <c r="I77" s="130">
        <v>0.0279</v>
      </c>
      <c r="J77" s="130">
        <v>0.04383</v>
      </c>
      <c r="K77" s="133">
        <v>0.0301</v>
      </c>
      <c r="L77" s="174">
        <v>0.0603</v>
      </c>
      <c r="Q77" s="121">
        <v>39508</v>
      </c>
      <c r="R77" s="139">
        <v>0.014000000000000005</v>
      </c>
      <c r="V77" s="121">
        <v>39508</v>
      </c>
      <c r="W77" s="190">
        <v>0.7394</v>
      </c>
    </row>
    <row r="78" spans="1:23" ht="15.75">
      <c r="A78" s="121">
        <v>39539</v>
      </c>
      <c r="B78" s="128">
        <v>2.1574</v>
      </c>
      <c r="C78" s="128">
        <v>3.4444</v>
      </c>
      <c r="D78" s="123">
        <v>2.1852</v>
      </c>
      <c r="H78" s="121">
        <v>39539</v>
      </c>
      <c r="I78" s="130">
        <v>0.0289</v>
      </c>
      <c r="J78" s="130">
        <v>0.04731</v>
      </c>
      <c r="K78" s="133">
        <v>0.0268</v>
      </c>
      <c r="L78" s="174">
        <v>0.0629</v>
      </c>
      <c r="Q78" s="121">
        <v>39539</v>
      </c>
      <c r="R78" s="139">
        <v>0.014700000000000005</v>
      </c>
      <c r="V78" s="121">
        <v>39539</v>
      </c>
      <c r="W78" s="190">
        <v>0.7325</v>
      </c>
    </row>
    <row r="79" spans="1:23" ht="15.75">
      <c r="A79" s="121">
        <v>39569</v>
      </c>
      <c r="B79" s="128">
        <v>2.0984</v>
      </c>
      <c r="C79" s="128">
        <v>3.4069</v>
      </c>
      <c r="D79" s="123">
        <v>2.1904</v>
      </c>
      <c r="H79" s="121">
        <v>39569</v>
      </c>
      <c r="I79" s="130">
        <v>0.0289</v>
      </c>
      <c r="J79" s="130">
        <v>0.04855</v>
      </c>
      <c r="K79" s="133">
        <v>0.0278</v>
      </c>
      <c r="L79" s="174">
        <v>0.0641</v>
      </c>
      <c r="Q79" s="121">
        <v>39569</v>
      </c>
      <c r="R79" s="139">
        <v>0.013999999999999999</v>
      </c>
      <c r="V79" s="121">
        <v>39569</v>
      </c>
      <c r="W79" s="190">
        <v>0.7256</v>
      </c>
    </row>
    <row r="80" spans="1:23" ht="15.75">
      <c r="A80" s="121">
        <v>39600</v>
      </c>
      <c r="B80" s="128">
        <v>2.0909</v>
      </c>
      <c r="C80" s="128">
        <v>3.376</v>
      </c>
      <c r="D80" s="123">
        <v>2.1694</v>
      </c>
      <c r="H80" s="121">
        <v>39600</v>
      </c>
      <c r="I80" s="130">
        <v>0.0278</v>
      </c>
      <c r="J80" s="130">
        <v>0.04865</v>
      </c>
      <c r="K80" s="133">
        <v>0.0268</v>
      </c>
      <c r="L80" s="174">
        <v>0.0658</v>
      </c>
      <c r="Q80" s="121">
        <v>39600</v>
      </c>
      <c r="R80" s="139">
        <v>0.014399999999999996</v>
      </c>
      <c r="V80" s="121">
        <v>39600</v>
      </c>
      <c r="W80" s="190">
        <v>0.7119</v>
      </c>
    </row>
    <row r="81" spans="1:23" ht="15.75">
      <c r="A81" s="121">
        <v>39630</v>
      </c>
      <c r="B81" s="128">
        <v>2.0139</v>
      </c>
      <c r="C81" s="128">
        <v>3.26</v>
      </c>
      <c r="D81" s="123">
        <v>2.0674</v>
      </c>
      <c r="H81" s="121">
        <v>39630</v>
      </c>
      <c r="I81" s="130">
        <v>0.0278</v>
      </c>
      <c r="J81" s="130">
        <v>0.04955</v>
      </c>
      <c r="K81" s="133">
        <v>0.0279</v>
      </c>
      <c r="L81" s="174">
        <v>0.0662</v>
      </c>
      <c r="Q81" s="121">
        <v>39630</v>
      </c>
      <c r="R81" s="139">
        <v>0.017200000000000007</v>
      </c>
      <c r="V81" s="121">
        <v>39630</v>
      </c>
      <c r="W81" s="190">
        <v>0.7085</v>
      </c>
    </row>
    <row r="82" spans="1:23" ht="15.75">
      <c r="A82" s="121">
        <v>39661</v>
      </c>
      <c r="B82" s="128">
        <v>2.0279</v>
      </c>
      <c r="C82" s="128">
        <v>3.2884</v>
      </c>
      <c r="D82" s="123">
        <v>2.1926</v>
      </c>
      <c r="H82" s="121">
        <v>39661</v>
      </c>
      <c r="I82" s="130">
        <v>0.0278</v>
      </c>
      <c r="J82" s="130">
        <v>0.04968</v>
      </c>
      <c r="K82" s="133">
        <v>0.0279</v>
      </c>
      <c r="L82" s="174">
        <v>0.0652</v>
      </c>
      <c r="Q82" s="121">
        <v>39661</v>
      </c>
      <c r="R82" s="139">
        <v>0.019500000000000003</v>
      </c>
      <c r="V82" s="121">
        <v>39661</v>
      </c>
      <c r="W82" s="190">
        <v>0.7085</v>
      </c>
    </row>
    <row r="83" spans="1:23" ht="15.75">
      <c r="A83" s="121">
        <v>39692</v>
      </c>
      <c r="B83" s="128">
        <v>2.1152</v>
      </c>
      <c r="C83" s="128">
        <v>3.3712</v>
      </c>
      <c r="D83" s="123">
        <v>2.3497</v>
      </c>
      <c r="H83" s="121">
        <v>39692</v>
      </c>
      <c r="I83" s="130">
        <v>0.0278</v>
      </c>
      <c r="J83" s="130">
        <v>0.04961</v>
      </c>
      <c r="K83" s="133">
        <v>0.0281</v>
      </c>
      <c r="L83" s="174">
        <v>0.0656</v>
      </c>
      <c r="Q83" s="121">
        <v>39692</v>
      </c>
      <c r="R83" s="139">
        <v>0.020600000000000007</v>
      </c>
      <c r="V83" s="121">
        <v>39692</v>
      </c>
      <c r="W83" s="190">
        <v>0.7153</v>
      </c>
    </row>
    <row r="84" spans="1:23" ht="15.75">
      <c r="A84" s="121">
        <v>39722</v>
      </c>
      <c r="B84" s="128">
        <v>2.3634</v>
      </c>
      <c r="C84" s="128">
        <v>3.5855</v>
      </c>
      <c r="D84" s="123">
        <v>2.698</v>
      </c>
      <c r="H84" s="121">
        <v>39722</v>
      </c>
      <c r="I84" s="130">
        <v>0.0293</v>
      </c>
      <c r="J84" s="130">
        <v>0.05291</v>
      </c>
      <c r="K84" s="133">
        <v>0.0415</v>
      </c>
      <c r="L84" s="174">
        <v>0.068</v>
      </c>
      <c r="Q84" s="121">
        <v>39722</v>
      </c>
      <c r="R84" s="139">
        <v>0.0189</v>
      </c>
      <c r="V84" s="121">
        <v>39722</v>
      </c>
      <c r="W84" s="190">
        <v>0.7102</v>
      </c>
    </row>
    <row r="85" spans="1:23" ht="15.75">
      <c r="A85" s="121">
        <v>39753</v>
      </c>
      <c r="B85" s="128">
        <v>2.4566</v>
      </c>
      <c r="C85" s="128">
        <v>3.7207</v>
      </c>
      <c r="D85" s="123">
        <v>2.9209</v>
      </c>
      <c r="H85" s="121">
        <v>39753</v>
      </c>
      <c r="I85" s="130">
        <v>0.0277</v>
      </c>
      <c r="J85" s="130">
        <v>0.04733</v>
      </c>
      <c r="K85" s="133">
        <v>0.0286</v>
      </c>
      <c r="L85" s="174">
        <v>0.0674</v>
      </c>
      <c r="Q85" s="121">
        <v>39753</v>
      </c>
      <c r="R85" s="139">
        <v>0.021199999999999997</v>
      </c>
      <c r="V85" s="121">
        <v>39753</v>
      </c>
      <c r="W85" s="190">
        <v>0.7034</v>
      </c>
    </row>
    <row r="86" spans="1:23" ht="15.75">
      <c r="A86" s="121">
        <v>39783</v>
      </c>
      <c r="B86" s="128">
        <v>2.6144</v>
      </c>
      <c r="C86" s="128">
        <v>4.0177</v>
      </c>
      <c r="D86" s="123">
        <v>2.9715</v>
      </c>
      <c r="H86" s="121">
        <v>39783</v>
      </c>
      <c r="I86" s="130">
        <v>0.0127</v>
      </c>
      <c r="J86" s="130">
        <v>0.03816</v>
      </c>
      <c r="K86" s="133">
        <v>0.0222</v>
      </c>
      <c r="L86" s="174">
        <v>0.0638</v>
      </c>
      <c r="Q86" s="121">
        <v>39783</v>
      </c>
      <c r="R86" s="139">
        <v>0.0242</v>
      </c>
      <c r="V86" s="121">
        <v>39783</v>
      </c>
      <c r="W86" s="190">
        <v>0.7</v>
      </c>
    </row>
    <row r="87" spans="1:23" ht="15.75">
      <c r="A87" s="121">
        <v>39814</v>
      </c>
      <c r="B87" s="128">
        <v>2.8272</v>
      </c>
      <c r="C87" s="128">
        <v>4.2181</v>
      </c>
      <c r="D87" s="123">
        <v>3.1717</v>
      </c>
      <c r="H87" s="121">
        <v>39814</v>
      </c>
      <c r="I87" s="130">
        <v>0.0067</v>
      </c>
      <c r="J87" s="130">
        <v>0.02859</v>
      </c>
      <c r="K87" s="133">
        <v>0.0141</v>
      </c>
      <c r="L87" s="174">
        <v>0.0551</v>
      </c>
      <c r="Q87" s="121">
        <v>39814</v>
      </c>
      <c r="R87" s="139">
        <v>0.0315</v>
      </c>
      <c r="V87" s="121">
        <v>39814</v>
      </c>
      <c r="W87" s="190">
        <v>0.7017</v>
      </c>
    </row>
    <row r="88" spans="1:23" ht="15.75">
      <c r="A88" s="121">
        <v>39845</v>
      </c>
      <c r="B88" s="128">
        <v>3.1131</v>
      </c>
      <c r="C88" s="128">
        <v>4.6442</v>
      </c>
      <c r="D88" s="123">
        <v>3.6314</v>
      </c>
      <c r="H88" s="121">
        <v>39845</v>
      </c>
      <c r="I88" s="130">
        <v>0.0053</v>
      </c>
      <c r="J88" s="130">
        <v>0.02077</v>
      </c>
      <c r="K88" s="133">
        <v>0.0123</v>
      </c>
      <c r="L88" s="174">
        <v>0.0469</v>
      </c>
      <c r="Q88" s="121">
        <v>39845</v>
      </c>
      <c r="R88" s="139">
        <v>0.028099999999999993</v>
      </c>
      <c r="V88" s="121">
        <v>39845</v>
      </c>
      <c r="W88" s="190">
        <v>0.6932</v>
      </c>
    </row>
    <row r="89" spans="1:23" ht="15.75">
      <c r="A89" s="121">
        <v>39873</v>
      </c>
      <c r="B89" s="128">
        <v>3.0687</v>
      </c>
      <c r="C89" s="128">
        <v>4.6237</v>
      </c>
      <c r="D89" s="123">
        <v>3.5412</v>
      </c>
      <c r="H89" s="121">
        <v>39873</v>
      </c>
      <c r="I89" s="130">
        <v>0.0053</v>
      </c>
      <c r="J89" s="130">
        <v>0.01811</v>
      </c>
      <c r="K89" s="133">
        <v>0.0127</v>
      </c>
      <c r="L89" s="174">
        <v>0.043</v>
      </c>
      <c r="Q89" s="121">
        <v>39873</v>
      </c>
      <c r="R89" s="139">
        <v>0.028800000000000006</v>
      </c>
      <c r="V89" s="121">
        <v>39873</v>
      </c>
      <c r="W89" s="190">
        <v>0.6781</v>
      </c>
    </row>
    <row r="90" spans="1:23" ht="15.75">
      <c r="A90" s="121">
        <v>39904</v>
      </c>
      <c r="B90" s="128">
        <v>2.9129</v>
      </c>
      <c r="C90" s="128">
        <v>4.4193</v>
      </c>
      <c r="D90" s="123">
        <v>3.348</v>
      </c>
      <c r="H90" s="121">
        <v>39904</v>
      </c>
      <c r="I90" s="130">
        <v>0.004</v>
      </c>
      <c r="J90" s="130">
        <v>0.01498</v>
      </c>
      <c r="K90" s="133">
        <v>0.0118</v>
      </c>
      <c r="L90" s="174">
        <v>0.042</v>
      </c>
      <c r="Q90" s="121">
        <v>39904</v>
      </c>
      <c r="R90" s="139">
        <v>0.028199999999999996</v>
      </c>
      <c r="V90" s="121">
        <v>39904</v>
      </c>
      <c r="W90" s="190">
        <v>0.6665</v>
      </c>
    </row>
    <row r="91" spans="1:23" ht="15.75">
      <c r="A91" s="121">
        <v>39934</v>
      </c>
      <c r="B91" s="128">
        <v>2.9168</v>
      </c>
      <c r="C91" s="128">
        <v>4.4105</v>
      </c>
      <c r="D91" s="123">
        <v>3.2337</v>
      </c>
      <c r="H91" s="121">
        <v>39934</v>
      </c>
      <c r="I91" s="130">
        <v>0.004</v>
      </c>
      <c r="J91" s="130">
        <v>0.01354</v>
      </c>
      <c r="K91" s="133">
        <v>0.0101</v>
      </c>
      <c r="L91" s="174">
        <v>0.0452</v>
      </c>
      <c r="Q91" s="121">
        <v>39934</v>
      </c>
      <c r="R91" s="139">
        <v>0.026200000000000008</v>
      </c>
      <c r="V91" s="121">
        <v>39934</v>
      </c>
      <c r="W91" s="190">
        <v>0.6549</v>
      </c>
    </row>
    <row r="92" spans="1:23" ht="15.75">
      <c r="A92" s="121">
        <v>39965</v>
      </c>
      <c r="B92" s="128">
        <v>2.9751</v>
      </c>
      <c r="C92" s="128">
        <v>4.5081</v>
      </c>
      <c r="D92" s="123">
        <v>3.2146</v>
      </c>
      <c r="H92" s="121">
        <v>39965</v>
      </c>
      <c r="I92" s="130">
        <v>0.004</v>
      </c>
      <c r="J92" s="130">
        <v>0.01266</v>
      </c>
      <c r="K92" s="133">
        <v>0.0065</v>
      </c>
      <c r="L92" s="174">
        <v>0.046</v>
      </c>
      <c r="Q92" s="121">
        <v>39965</v>
      </c>
      <c r="R92" s="139">
        <v>0.026300000000000004</v>
      </c>
      <c r="V92" s="121">
        <v>39965</v>
      </c>
      <c r="W92" s="190">
        <v>0.6466</v>
      </c>
    </row>
    <row r="93" spans="1:23" ht="15.75">
      <c r="A93" s="121">
        <v>39995</v>
      </c>
      <c r="B93" s="128">
        <v>2.8325</v>
      </c>
      <c r="C93" s="128">
        <v>4.3053</v>
      </c>
      <c r="D93" s="123">
        <v>3.0596</v>
      </c>
      <c r="H93" s="121">
        <v>39995</v>
      </c>
      <c r="I93" s="130">
        <v>0.004</v>
      </c>
      <c r="J93" s="130">
        <v>0.0111</v>
      </c>
      <c r="K93" s="131">
        <v>0.006</v>
      </c>
      <c r="L93" s="174">
        <v>0.0426</v>
      </c>
      <c r="Q93" s="121">
        <v>39995</v>
      </c>
      <c r="R93" s="139">
        <v>0.030399999999999996</v>
      </c>
      <c r="V93" s="121">
        <v>39995</v>
      </c>
      <c r="W93" s="190">
        <v>0.6434</v>
      </c>
    </row>
    <row r="94" spans="1:23" ht="15.75">
      <c r="A94" s="121">
        <v>40026</v>
      </c>
      <c r="B94" s="128">
        <v>2.71</v>
      </c>
      <c r="C94" s="128">
        <v>4.1311</v>
      </c>
      <c r="D94" s="123">
        <v>2.8956</v>
      </c>
      <c r="H94" s="121">
        <v>40026</v>
      </c>
      <c r="I94" s="130">
        <v>0.004</v>
      </c>
      <c r="J94" s="130">
        <v>0.009</v>
      </c>
      <c r="K94" s="131">
        <v>0.0048</v>
      </c>
      <c r="L94" s="174">
        <v>0.0416</v>
      </c>
      <c r="Q94" s="121">
        <v>40026</v>
      </c>
      <c r="R94" s="139">
        <v>0.0324</v>
      </c>
      <c r="V94" s="121">
        <v>40026</v>
      </c>
      <c r="W94" s="190">
        <v>0.6417</v>
      </c>
    </row>
    <row r="95" spans="1:23" ht="15.75">
      <c r="A95" s="121">
        <v>40057</v>
      </c>
      <c r="B95" s="128">
        <v>2.7488</v>
      </c>
      <c r="C95" s="128">
        <v>4.1635</v>
      </c>
      <c r="D95" s="123">
        <v>2.8595</v>
      </c>
      <c r="H95" s="121">
        <v>40057</v>
      </c>
      <c r="I95" s="130">
        <v>0.004</v>
      </c>
      <c r="J95" s="130">
        <f>J94</f>
        <v>0.009</v>
      </c>
      <c r="K95" s="131">
        <v>0.0035</v>
      </c>
      <c r="L95" s="174">
        <v>0.0418</v>
      </c>
      <c r="Q95" s="121">
        <v>40057</v>
      </c>
      <c r="R95" s="139">
        <v>0.0342</v>
      </c>
      <c r="V95" s="121">
        <v>40057</v>
      </c>
      <c r="W95" s="190">
        <v>0.6483</v>
      </c>
    </row>
    <row r="96" spans="1:23" ht="15.75">
      <c r="A96" s="121">
        <v>40087</v>
      </c>
      <c r="B96" s="128">
        <v>2.7851</v>
      </c>
      <c r="C96" s="128">
        <v>4.2173</v>
      </c>
      <c r="D96" s="123">
        <v>2.8469</v>
      </c>
      <c r="H96" s="121">
        <v>40087</v>
      </c>
      <c r="I96" s="130">
        <v>0.0029</v>
      </c>
      <c r="J96" s="130">
        <v>0.0075</v>
      </c>
      <c r="K96" s="131">
        <f aca="true" t="shared" si="0" ref="K96:K158">K95</f>
        <v>0.0035</v>
      </c>
      <c r="L96" s="174">
        <v>0.0418</v>
      </c>
      <c r="Q96" s="121">
        <v>40087</v>
      </c>
      <c r="R96" s="139">
        <v>0.03110000000000001</v>
      </c>
      <c r="V96" s="121">
        <v>40087</v>
      </c>
      <c r="W96" s="190">
        <v>0.6483</v>
      </c>
    </row>
    <row r="97" spans="1:23" ht="15.75">
      <c r="A97" s="121">
        <v>40118</v>
      </c>
      <c r="B97" s="128">
        <v>2.7628</v>
      </c>
      <c r="C97" s="128">
        <v>4.1734</v>
      </c>
      <c r="D97" s="123">
        <v>2.799</v>
      </c>
      <c r="H97" s="121">
        <v>40118</v>
      </c>
      <c r="I97" s="130">
        <v>0.0029</v>
      </c>
      <c r="J97" s="130">
        <f aca="true" t="shared" si="1" ref="J97:J159">J96</f>
        <v>0.0075</v>
      </c>
      <c r="K97" s="131">
        <f t="shared" si="0"/>
        <v>0.0035</v>
      </c>
      <c r="L97" s="174">
        <v>0.0419</v>
      </c>
      <c r="Q97" s="121">
        <v>40118</v>
      </c>
      <c r="R97" s="139">
        <v>0.029099999999999987</v>
      </c>
      <c r="V97" s="121">
        <v>40118</v>
      </c>
      <c r="W97" s="190">
        <v>0.6467</v>
      </c>
    </row>
    <row r="98" spans="1:23" ht="15.75">
      <c r="A98" s="121">
        <v>40148</v>
      </c>
      <c r="B98" s="128">
        <v>2.7584</v>
      </c>
      <c r="C98" s="128">
        <v>4.1427</v>
      </c>
      <c r="D98" s="123">
        <v>2.8352</v>
      </c>
      <c r="H98" s="121">
        <v>40148</v>
      </c>
      <c r="I98" s="130">
        <v>0.0029</v>
      </c>
      <c r="J98" s="130">
        <f t="shared" si="1"/>
        <v>0.0075</v>
      </c>
      <c r="K98" s="131">
        <f t="shared" si="0"/>
        <v>0.0035</v>
      </c>
      <c r="L98" s="174">
        <v>0.0423</v>
      </c>
      <c r="Q98" s="121">
        <v>40148</v>
      </c>
      <c r="R98" s="139">
        <v>0.02779999999999999</v>
      </c>
      <c r="V98" s="121">
        <v>40148</v>
      </c>
      <c r="W98" s="190">
        <v>0.6417</v>
      </c>
    </row>
    <row r="99" spans="1:23" ht="15.75">
      <c r="A99" s="121">
        <v>40179</v>
      </c>
      <c r="B99" s="128">
        <v>2.7573</v>
      </c>
      <c r="C99" s="128">
        <v>4.072</v>
      </c>
      <c r="D99" s="123">
        <v>2.8518</v>
      </c>
      <c r="H99" s="121">
        <v>40179</v>
      </c>
      <c r="I99" s="130">
        <v>0.0029</v>
      </c>
      <c r="J99" s="130">
        <f t="shared" si="1"/>
        <v>0.0075</v>
      </c>
      <c r="K99" s="131">
        <v>0.0025</v>
      </c>
      <c r="L99" s="174">
        <v>0.0424</v>
      </c>
      <c r="Q99" s="121">
        <v>40179</v>
      </c>
      <c r="R99" s="139">
        <v>0.0278</v>
      </c>
      <c r="V99" s="121">
        <v>40179</v>
      </c>
      <c r="W99" s="190">
        <v>0.6417</v>
      </c>
    </row>
    <row r="100" spans="1:23" ht="15.75">
      <c r="A100" s="121">
        <v>40210</v>
      </c>
      <c r="B100" s="128">
        <v>2.7371</v>
      </c>
      <c r="C100" s="128">
        <v>4.0155</v>
      </c>
      <c r="D100" s="123">
        <v>2.9385</v>
      </c>
      <c r="H100" s="121">
        <v>40210</v>
      </c>
      <c r="I100" s="130">
        <v>0.0029</v>
      </c>
      <c r="J100" s="130">
        <f t="shared" si="1"/>
        <v>0.0075</v>
      </c>
      <c r="K100" s="131">
        <f t="shared" si="0"/>
        <v>0.0025</v>
      </c>
      <c r="L100" s="174">
        <v>0.0417</v>
      </c>
      <c r="Q100" s="121">
        <v>40210</v>
      </c>
      <c r="R100" s="139">
        <v>0.028200000000000003</v>
      </c>
      <c r="V100" s="121">
        <v>40210</v>
      </c>
      <c r="W100" s="190">
        <v>0.6319</v>
      </c>
    </row>
    <row r="101" spans="1:23" ht="15.75">
      <c r="A101" s="121">
        <v>40238</v>
      </c>
      <c r="B101" s="128">
        <v>2.6885</v>
      </c>
      <c r="C101" s="128">
        <v>3.8919</v>
      </c>
      <c r="D101" s="123">
        <v>2.8672</v>
      </c>
      <c r="H101" s="121">
        <v>40238</v>
      </c>
      <c r="I101" s="130">
        <v>0.0029</v>
      </c>
      <c r="J101" s="130">
        <f t="shared" si="1"/>
        <v>0.0075</v>
      </c>
      <c r="K101" s="131">
        <f t="shared" si="0"/>
        <v>0.0025</v>
      </c>
      <c r="L101" s="174">
        <v>0.0413</v>
      </c>
      <c r="Q101" s="121">
        <v>40238</v>
      </c>
      <c r="R101" s="139">
        <v>0.03010000000000001</v>
      </c>
      <c r="V101" s="121">
        <v>40238</v>
      </c>
      <c r="W101" s="190">
        <v>0.6287</v>
      </c>
    </row>
    <row r="102" spans="1:23" ht="15.75">
      <c r="A102" s="121">
        <v>40269</v>
      </c>
      <c r="B102" s="128">
        <v>2.6997</v>
      </c>
      <c r="C102" s="128">
        <v>3.8704</v>
      </c>
      <c r="D102" s="123">
        <v>2.8799</v>
      </c>
      <c r="H102" s="121">
        <v>40269</v>
      </c>
      <c r="I102" s="130">
        <v>0.0029</v>
      </c>
      <c r="J102" s="130">
        <v>0.0064</v>
      </c>
      <c r="K102" s="131">
        <f t="shared" si="0"/>
        <v>0.0025</v>
      </c>
      <c r="L102" s="174">
        <v>0.0392</v>
      </c>
      <c r="Q102" s="121">
        <v>40269</v>
      </c>
      <c r="R102" s="139">
        <v>0.030700000000000005</v>
      </c>
      <c r="V102" s="121">
        <v>40269</v>
      </c>
      <c r="W102" s="190">
        <v>0.6238</v>
      </c>
    </row>
    <row r="103" spans="1:23" ht="15.75">
      <c r="A103" s="121">
        <v>40299</v>
      </c>
      <c r="B103" s="128">
        <v>2.8504</v>
      </c>
      <c r="C103" s="128">
        <v>4.0521</v>
      </c>
      <c r="D103" s="123">
        <v>3.2137</v>
      </c>
      <c r="H103" s="121">
        <v>40299</v>
      </c>
      <c r="I103" s="130">
        <v>0.0029</v>
      </c>
      <c r="J103" s="130">
        <f t="shared" si="1"/>
        <v>0.0064</v>
      </c>
      <c r="K103" s="131">
        <f t="shared" si="0"/>
        <v>0.0025</v>
      </c>
      <c r="L103" s="174">
        <v>0.0385</v>
      </c>
      <c r="Q103" s="121">
        <v>40299</v>
      </c>
      <c r="R103" s="139">
        <v>0.0288</v>
      </c>
      <c r="V103" s="121">
        <v>40299</v>
      </c>
      <c r="W103" s="190">
        <v>0.6174</v>
      </c>
    </row>
    <row r="104" spans="1:23" ht="15.75">
      <c r="A104" s="121">
        <v>40330</v>
      </c>
      <c r="B104" s="128">
        <v>2.9778</v>
      </c>
      <c r="C104" s="128">
        <v>4.1025</v>
      </c>
      <c r="D104" s="123">
        <v>3.3571</v>
      </c>
      <c r="H104" s="121">
        <v>40330</v>
      </c>
      <c r="I104" s="130">
        <v>0.0011</v>
      </c>
      <c r="J104" s="130">
        <f t="shared" si="1"/>
        <v>0.0064</v>
      </c>
      <c r="K104" s="131">
        <v>0.0054</v>
      </c>
      <c r="L104" s="174">
        <v>0.0386</v>
      </c>
      <c r="Q104" s="121">
        <v>40330</v>
      </c>
      <c r="R104" s="139">
        <v>0.02850000000000001</v>
      </c>
      <c r="V104" s="121">
        <v>40330</v>
      </c>
      <c r="W104" s="190">
        <v>0.6125</v>
      </c>
    </row>
    <row r="105" spans="1:23" ht="15.75">
      <c r="A105" s="121">
        <v>40360</v>
      </c>
      <c r="B105" s="128">
        <v>3.0308</v>
      </c>
      <c r="C105" s="128">
        <v>4.0818</v>
      </c>
      <c r="D105" s="123">
        <v>3.195</v>
      </c>
      <c r="H105" s="121">
        <v>40360</v>
      </c>
      <c r="I105" s="130">
        <v>0.0011</v>
      </c>
      <c r="J105" s="130">
        <v>0.0076</v>
      </c>
      <c r="K105" s="131">
        <f t="shared" si="0"/>
        <v>0.0054</v>
      </c>
      <c r="L105" s="174">
        <v>0.0384</v>
      </c>
      <c r="Q105" s="121">
        <v>40360</v>
      </c>
      <c r="R105" s="139">
        <v>0.0278</v>
      </c>
      <c r="V105" s="121">
        <v>40360</v>
      </c>
      <c r="W105" s="190">
        <v>0.6077</v>
      </c>
    </row>
    <row r="106" spans="1:23" ht="15.75">
      <c r="A106" s="121">
        <v>40391</v>
      </c>
      <c r="B106" s="128">
        <v>2.9725</v>
      </c>
      <c r="C106" s="128">
        <v>3.9872</v>
      </c>
      <c r="D106" s="123">
        <v>3.0894</v>
      </c>
      <c r="H106" s="121">
        <v>40391</v>
      </c>
      <c r="I106" s="130">
        <v>0.0011</v>
      </c>
      <c r="J106" s="130">
        <v>0.009</v>
      </c>
      <c r="K106" s="131">
        <f t="shared" si="0"/>
        <v>0.0054</v>
      </c>
      <c r="L106" s="174">
        <v>0.0381</v>
      </c>
      <c r="Q106" s="121">
        <v>40391</v>
      </c>
      <c r="R106" s="139">
        <v>0.02609999999999999</v>
      </c>
      <c r="V106" s="121">
        <v>40391</v>
      </c>
      <c r="W106" s="190">
        <v>0.6109</v>
      </c>
    </row>
    <row r="107" spans="1:23" ht="15.75">
      <c r="A107" s="121">
        <v>40422</v>
      </c>
      <c r="B107" s="128">
        <v>3.0196</v>
      </c>
      <c r="C107" s="128">
        <v>3.9558</v>
      </c>
      <c r="D107" s="123">
        <v>3.0318</v>
      </c>
      <c r="H107" s="121">
        <v>40422</v>
      </c>
      <c r="I107" s="130">
        <v>0.0011</v>
      </c>
      <c r="J107" s="130">
        <f t="shared" si="1"/>
        <v>0.009</v>
      </c>
      <c r="K107" s="131">
        <v>0.003</v>
      </c>
      <c r="L107" s="174">
        <v>0.0382</v>
      </c>
      <c r="Q107" s="121">
        <v>40422</v>
      </c>
      <c r="R107" s="139">
        <v>0.025800000000000003</v>
      </c>
      <c r="V107" s="121">
        <v>40422</v>
      </c>
      <c r="W107" s="190">
        <v>0.6174</v>
      </c>
    </row>
    <row r="108" spans="1:23" ht="15.75">
      <c r="A108" s="121">
        <v>40452</v>
      </c>
      <c r="B108" s="128">
        <v>2.9358</v>
      </c>
      <c r="C108" s="128">
        <v>3.9562</v>
      </c>
      <c r="D108" s="123">
        <v>2.8482</v>
      </c>
      <c r="H108" s="121">
        <v>40452</v>
      </c>
      <c r="I108" s="130">
        <v>0.0011</v>
      </c>
      <c r="J108" s="130">
        <f t="shared" si="1"/>
        <v>0.009</v>
      </c>
      <c r="K108" s="131">
        <f t="shared" si="0"/>
        <v>0.003</v>
      </c>
      <c r="L108" s="174">
        <v>0.0383</v>
      </c>
      <c r="Q108" s="121">
        <v>40452</v>
      </c>
      <c r="R108" s="139">
        <v>0.025800000000000003</v>
      </c>
      <c r="V108" s="121">
        <v>40452</v>
      </c>
      <c r="W108" s="190">
        <v>0.6077</v>
      </c>
    </row>
    <row r="109" spans="1:23" ht="15.75">
      <c r="A109" s="121">
        <v>40483</v>
      </c>
      <c r="B109" s="128">
        <v>2.9432</v>
      </c>
      <c r="C109" s="128">
        <v>3.9531</v>
      </c>
      <c r="D109" s="123">
        <v>2.8913</v>
      </c>
      <c r="H109" s="121">
        <v>40483</v>
      </c>
      <c r="I109" s="130">
        <v>0.0011</v>
      </c>
      <c r="J109" s="130">
        <v>0.0105</v>
      </c>
      <c r="K109" s="131">
        <f t="shared" si="0"/>
        <v>0.003</v>
      </c>
      <c r="L109" s="174">
        <v>0.0386</v>
      </c>
      <c r="Q109" s="121">
        <v>40483</v>
      </c>
      <c r="R109" s="139">
        <v>0.023900000000000005</v>
      </c>
      <c r="V109" s="121">
        <v>40483</v>
      </c>
      <c r="W109" s="190">
        <v>0.5997</v>
      </c>
    </row>
    <row r="110" spans="1:23" ht="15.75">
      <c r="A110" s="121">
        <v>40513</v>
      </c>
      <c r="B110" s="128">
        <v>3.1155</v>
      </c>
      <c r="C110" s="128">
        <v>3.9959</v>
      </c>
      <c r="D110" s="123">
        <v>3.0197</v>
      </c>
      <c r="H110" s="121">
        <v>40513</v>
      </c>
      <c r="I110" s="130">
        <v>0.0011</v>
      </c>
      <c r="J110" s="130">
        <f t="shared" si="1"/>
        <v>0.0105</v>
      </c>
      <c r="K110" s="131">
        <f t="shared" si="0"/>
        <v>0.003</v>
      </c>
      <c r="L110" s="174">
        <v>0.0392</v>
      </c>
      <c r="Q110" s="121">
        <v>40513</v>
      </c>
      <c r="R110" s="139">
        <v>0.022699999999999998</v>
      </c>
      <c r="V110" s="121">
        <v>40513</v>
      </c>
      <c r="W110" s="190">
        <v>0.5981</v>
      </c>
    </row>
    <row r="111" spans="1:23" ht="15.75">
      <c r="A111" s="121">
        <v>40544</v>
      </c>
      <c r="B111" s="128">
        <v>3.0503</v>
      </c>
      <c r="C111" s="128">
        <v>3.8969</v>
      </c>
      <c r="D111" s="123">
        <v>2.9148</v>
      </c>
      <c r="H111" s="121">
        <v>40544</v>
      </c>
      <c r="I111" s="130">
        <v>0.0011</v>
      </c>
      <c r="J111" s="130">
        <f t="shared" si="1"/>
        <v>0.0105</v>
      </c>
      <c r="K111" s="131">
        <f t="shared" si="0"/>
        <v>0.003</v>
      </c>
      <c r="L111" s="174">
        <v>0.0401</v>
      </c>
      <c r="Q111" s="121">
        <v>40544</v>
      </c>
      <c r="R111" s="139">
        <v>0.020700000000000003</v>
      </c>
      <c r="V111" s="121">
        <v>40544</v>
      </c>
      <c r="W111" s="190">
        <v>0.5918</v>
      </c>
    </row>
    <row r="112" spans="1:23" ht="15.75">
      <c r="A112" s="121">
        <v>40575</v>
      </c>
      <c r="B112" s="128">
        <v>3.0312</v>
      </c>
      <c r="C112" s="128">
        <v>3.9286</v>
      </c>
      <c r="D112" s="123">
        <v>2.8787</v>
      </c>
      <c r="H112" s="121">
        <v>40575</v>
      </c>
      <c r="I112" s="130">
        <v>0.0011</v>
      </c>
      <c r="J112" s="130">
        <f t="shared" si="1"/>
        <v>0.0105</v>
      </c>
      <c r="K112" s="131">
        <f t="shared" si="0"/>
        <v>0.003</v>
      </c>
      <c r="L112" s="174">
        <v>0.0411</v>
      </c>
      <c r="Q112" s="121">
        <v>40575</v>
      </c>
      <c r="R112" s="139">
        <v>0.021099999999999994</v>
      </c>
      <c r="V112" s="121">
        <v>40575</v>
      </c>
      <c r="W112" s="190">
        <v>0.5729</v>
      </c>
    </row>
    <row r="113" spans="1:23" ht="15.75">
      <c r="A113" s="121">
        <v>40603</v>
      </c>
      <c r="B113" s="128">
        <v>3.1188</v>
      </c>
      <c r="C113" s="128">
        <v>4.0174</v>
      </c>
      <c r="D113" s="123">
        <v>2.8688</v>
      </c>
      <c r="H113" s="121">
        <v>40603</v>
      </c>
      <c r="I113" s="130">
        <v>0.0011</v>
      </c>
      <c r="J113" s="130">
        <f t="shared" si="1"/>
        <v>0.0105</v>
      </c>
      <c r="K113" s="131">
        <f t="shared" si="0"/>
        <v>0.003</v>
      </c>
      <c r="L113" s="174">
        <v>0.0418</v>
      </c>
      <c r="Q113" s="121">
        <v>40603</v>
      </c>
      <c r="R113" s="139">
        <v>0.022</v>
      </c>
      <c r="V113" s="121">
        <v>40603</v>
      </c>
      <c r="W113" s="190">
        <v>0.5698</v>
      </c>
    </row>
    <row r="114" spans="1:23" ht="15.75">
      <c r="A114" s="121">
        <v>40634</v>
      </c>
      <c r="B114" s="128">
        <v>3.0592</v>
      </c>
      <c r="C114" s="128">
        <v>3.9706</v>
      </c>
      <c r="D114" s="123">
        <v>2.7467</v>
      </c>
      <c r="H114" s="121">
        <v>40634</v>
      </c>
      <c r="I114" s="130">
        <v>0.0011</v>
      </c>
      <c r="J114" s="130">
        <v>0.0123</v>
      </c>
      <c r="K114" s="131">
        <f t="shared" si="0"/>
        <v>0.003</v>
      </c>
      <c r="L114" s="174">
        <v>0.0427</v>
      </c>
      <c r="Q114" s="121">
        <v>40634</v>
      </c>
      <c r="R114" s="139">
        <v>0.02100000000000001</v>
      </c>
      <c r="V114" s="121">
        <v>40634</v>
      </c>
      <c r="W114" s="190">
        <v>0.5558</v>
      </c>
    </row>
    <row r="115" spans="1:23" ht="15.75">
      <c r="A115" s="121">
        <v>40664</v>
      </c>
      <c r="B115" s="128">
        <v>3.14</v>
      </c>
      <c r="C115" s="128">
        <v>3.9395</v>
      </c>
      <c r="D115" s="123">
        <v>2.7419</v>
      </c>
      <c r="H115" s="121">
        <v>40664</v>
      </c>
      <c r="I115" s="130">
        <v>0.0011</v>
      </c>
      <c r="J115" s="130">
        <v>0.0138</v>
      </c>
      <c r="K115" s="131">
        <f t="shared" si="0"/>
        <v>0.003</v>
      </c>
      <c r="L115" s="174">
        <v>0.044</v>
      </c>
      <c r="Q115" s="121">
        <v>40664</v>
      </c>
      <c r="R115" s="139">
        <v>0.020899999999999995</v>
      </c>
      <c r="V115" s="121">
        <v>40664</v>
      </c>
      <c r="W115" s="190">
        <v>0.548</v>
      </c>
    </row>
    <row r="116" spans="1:23" ht="15.75">
      <c r="A116" s="121">
        <v>40695</v>
      </c>
      <c r="B116" s="128">
        <v>3.2799</v>
      </c>
      <c r="C116" s="128">
        <v>3.9695</v>
      </c>
      <c r="D116" s="123">
        <v>2.7586</v>
      </c>
      <c r="H116" s="121">
        <v>40695</v>
      </c>
      <c r="I116" s="130">
        <v>0.0011</v>
      </c>
      <c r="J116" s="130">
        <f t="shared" si="1"/>
        <v>0.0138</v>
      </c>
      <c r="K116" s="131">
        <f t="shared" si="0"/>
        <v>0.003</v>
      </c>
      <c r="L116" s="174">
        <v>0.0461</v>
      </c>
      <c r="Q116" s="121">
        <v>40695</v>
      </c>
      <c r="R116" s="139">
        <v>0.0199</v>
      </c>
      <c r="V116" s="121">
        <v>40695</v>
      </c>
      <c r="W116" s="190">
        <v>0.5388</v>
      </c>
    </row>
    <row r="117" spans="1:23" ht="15.75">
      <c r="A117" s="121">
        <v>40725</v>
      </c>
      <c r="B117" s="128">
        <v>3.3824</v>
      </c>
      <c r="C117" s="128">
        <v>3.9907</v>
      </c>
      <c r="D117" s="123">
        <v>2.7911</v>
      </c>
      <c r="H117" s="121">
        <v>40725</v>
      </c>
      <c r="I117" s="130">
        <v>0.0011</v>
      </c>
      <c r="J117" s="130">
        <v>0.0154</v>
      </c>
      <c r="K117" s="131">
        <f t="shared" si="0"/>
        <v>0.003</v>
      </c>
      <c r="L117" s="174">
        <v>0.047</v>
      </c>
      <c r="Q117" s="121">
        <v>40725</v>
      </c>
      <c r="R117" s="139">
        <v>0.020699999999999996</v>
      </c>
      <c r="V117" s="121">
        <v>40725</v>
      </c>
      <c r="W117" s="190">
        <v>0.545</v>
      </c>
    </row>
    <row r="118" spans="1:23" ht="15.75">
      <c r="A118" s="121">
        <v>40756</v>
      </c>
      <c r="B118" s="128">
        <v>3.6894</v>
      </c>
      <c r="C118" s="128">
        <v>4.1232</v>
      </c>
      <c r="D118" s="123">
        <v>2.877</v>
      </c>
      <c r="H118" s="121">
        <v>40756</v>
      </c>
      <c r="I118" s="130">
        <v>0.0011</v>
      </c>
      <c r="J118" s="130">
        <f t="shared" si="1"/>
        <v>0.0154</v>
      </c>
      <c r="K118" s="131">
        <f t="shared" si="0"/>
        <v>0.003</v>
      </c>
      <c r="L118" s="174">
        <v>0.0472</v>
      </c>
      <c r="Q118" s="121">
        <v>40756</v>
      </c>
      <c r="R118" s="139">
        <v>0.019900000000000008</v>
      </c>
      <c r="V118" s="121">
        <v>40756</v>
      </c>
      <c r="W118" s="190">
        <v>0.5496</v>
      </c>
    </row>
    <row r="119" spans="1:23" ht="15.75">
      <c r="A119" s="121">
        <v>40787</v>
      </c>
      <c r="B119" s="128">
        <v>3.6193</v>
      </c>
      <c r="C119" s="128">
        <v>4.3332</v>
      </c>
      <c r="D119" s="123">
        <v>3.1429</v>
      </c>
      <c r="H119" s="121">
        <v>40787</v>
      </c>
      <c r="I119" s="130">
        <v>0.0001</v>
      </c>
      <c r="J119" s="130">
        <f t="shared" si="1"/>
        <v>0.0154</v>
      </c>
      <c r="K119" s="131">
        <f t="shared" si="0"/>
        <v>0.003</v>
      </c>
      <c r="L119" s="174">
        <v>0.0475</v>
      </c>
      <c r="Q119" s="121">
        <v>40787</v>
      </c>
      <c r="R119" s="139">
        <v>0.0199</v>
      </c>
      <c r="V119" s="121">
        <v>40787</v>
      </c>
      <c r="W119" s="190">
        <v>0.5496</v>
      </c>
    </row>
    <row r="120" spans="1:23" ht="15.75">
      <c r="A120" s="121">
        <v>40817</v>
      </c>
      <c r="B120" s="128">
        <v>3.5441</v>
      </c>
      <c r="C120" s="128">
        <v>4.3562</v>
      </c>
      <c r="D120" s="123">
        <v>3.1769</v>
      </c>
      <c r="H120" s="121">
        <v>40817</v>
      </c>
      <c r="I120" s="130">
        <v>0.0001</v>
      </c>
      <c r="J120" s="130">
        <f t="shared" si="1"/>
        <v>0.0154</v>
      </c>
      <c r="K120" s="131">
        <f t="shared" si="0"/>
        <v>0.003</v>
      </c>
      <c r="L120" s="174">
        <v>0.048</v>
      </c>
      <c r="Q120" s="121">
        <v>40817</v>
      </c>
      <c r="R120" s="139">
        <v>0.020099999999999993</v>
      </c>
      <c r="V120" s="121">
        <v>40817</v>
      </c>
      <c r="W120" s="190">
        <v>0.5481</v>
      </c>
    </row>
    <row r="121" spans="1:23" ht="15.75">
      <c r="A121" s="121">
        <v>40848</v>
      </c>
      <c r="B121" s="128">
        <v>3.5934</v>
      </c>
      <c r="C121" s="128">
        <v>4.4239</v>
      </c>
      <c r="D121" s="123">
        <v>3.2609</v>
      </c>
      <c r="H121" s="121">
        <v>40848</v>
      </c>
      <c r="I121" s="130">
        <v>0.0001</v>
      </c>
      <c r="J121" s="130">
        <f t="shared" si="1"/>
        <v>0.0154</v>
      </c>
      <c r="K121" s="131">
        <v>0.0043</v>
      </c>
      <c r="L121" s="174">
        <v>0.0494</v>
      </c>
      <c r="Q121" s="121">
        <v>40848</v>
      </c>
      <c r="R121" s="139">
        <v>0.019199999999999988</v>
      </c>
      <c r="V121" s="121">
        <v>40848</v>
      </c>
      <c r="W121" s="190">
        <v>0.5373</v>
      </c>
    </row>
    <row r="122" spans="1:23" ht="15.75">
      <c r="A122" s="121">
        <v>40878</v>
      </c>
      <c r="B122" s="128">
        <v>3.6468</v>
      </c>
      <c r="C122" s="128">
        <v>4.4766</v>
      </c>
      <c r="D122" s="123">
        <v>3.3959</v>
      </c>
      <c r="H122" s="121">
        <v>40878</v>
      </c>
      <c r="I122" s="130">
        <v>0.0001</v>
      </c>
      <c r="J122" s="130">
        <f t="shared" si="1"/>
        <v>0.0154</v>
      </c>
      <c r="K122" s="131">
        <v>0.0053</v>
      </c>
      <c r="L122" s="174">
        <v>0.0498</v>
      </c>
      <c r="Q122" s="121">
        <v>40878</v>
      </c>
      <c r="R122" s="139">
        <v>0.019700000000000002</v>
      </c>
      <c r="V122" s="121">
        <v>40878</v>
      </c>
      <c r="W122" s="190">
        <v>0.5266</v>
      </c>
    </row>
    <row r="123" spans="1:23" ht="15.75">
      <c r="A123" s="121">
        <v>40909</v>
      </c>
      <c r="B123" s="128">
        <v>3.6135</v>
      </c>
      <c r="C123" s="128">
        <v>4.3775</v>
      </c>
      <c r="D123" s="123">
        <v>3.3884</v>
      </c>
      <c r="H123" s="121">
        <v>40909</v>
      </c>
      <c r="I123" s="130">
        <v>0.0001</v>
      </c>
      <c r="J123" s="130">
        <v>0.0137</v>
      </c>
      <c r="K123" s="131">
        <f t="shared" si="0"/>
        <v>0.0053</v>
      </c>
      <c r="L123" s="174">
        <v>0.0499</v>
      </c>
      <c r="Q123" s="121">
        <v>40909</v>
      </c>
      <c r="R123" s="139">
        <v>0.0194</v>
      </c>
      <c r="V123" s="121">
        <v>40909</v>
      </c>
      <c r="W123" s="190">
        <v>0.5205</v>
      </c>
    </row>
    <row r="124" spans="1:23" ht="15.75">
      <c r="A124" s="121">
        <v>40940</v>
      </c>
      <c r="B124" s="128">
        <v>3.466</v>
      </c>
      <c r="C124" s="128">
        <v>4.184</v>
      </c>
      <c r="D124" s="123">
        <v>3.1608</v>
      </c>
      <c r="H124" s="121">
        <v>40940</v>
      </c>
      <c r="I124" s="130">
        <v>0.0001</v>
      </c>
      <c r="J124" s="130">
        <v>0.0113</v>
      </c>
      <c r="K124" s="131">
        <f t="shared" si="0"/>
        <v>0.0053</v>
      </c>
      <c r="L124" s="174">
        <v>0.0497</v>
      </c>
      <c r="Q124" s="121">
        <v>40940</v>
      </c>
      <c r="R124" s="139">
        <v>0.020300000000000012</v>
      </c>
      <c r="V124" s="121">
        <v>40940</v>
      </c>
      <c r="W124" s="190">
        <v>0.51</v>
      </c>
    </row>
    <row r="125" spans="1:23" ht="15.75">
      <c r="A125" s="121">
        <v>40969</v>
      </c>
      <c r="B125" s="128">
        <v>3.43</v>
      </c>
      <c r="C125" s="128">
        <v>4.137</v>
      </c>
      <c r="D125" s="123">
        <v>3.132</v>
      </c>
      <c r="H125" s="121">
        <v>40969</v>
      </c>
      <c r="I125" s="130">
        <v>0.0001</v>
      </c>
      <c r="J125" s="130">
        <v>0.0099</v>
      </c>
      <c r="K125" s="131">
        <f t="shared" si="0"/>
        <v>0.0053</v>
      </c>
      <c r="L125" s="174">
        <v>0.0495</v>
      </c>
      <c r="Q125" s="121">
        <v>40969</v>
      </c>
      <c r="R125" s="139">
        <v>0.019599999999999992</v>
      </c>
      <c r="V125" s="121">
        <v>40969</v>
      </c>
      <c r="W125" s="190">
        <v>0.5039</v>
      </c>
    </row>
    <row r="126" spans="1:23" ht="15.75">
      <c r="A126" s="121">
        <v>41000</v>
      </c>
      <c r="B126" s="128">
        <v>3.4736</v>
      </c>
      <c r="C126" s="128">
        <v>4.1756</v>
      </c>
      <c r="D126" s="123">
        <v>3.1727</v>
      </c>
      <c r="H126" s="121">
        <v>41000</v>
      </c>
      <c r="I126" s="130">
        <v>0.0011</v>
      </c>
      <c r="J126" s="130">
        <v>0.0078</v>
      </c>
      <c r="K126" s="131">
        <f t="shared" si="0"/>
        <v>0.0053</v>
      </c>
      <c r="L126" s="174">
        <v>0.0494</v>
      </c>
      <c r="Q126" s="121">
        <v>41000</v>
      </c>
      <c r="R126" s="139">
        <v>0.019999999999999997</v>
      </c>
      <c r="V126" s="121">
        <v>41000</v>
      </c>
      <c r="W126" s="190">
        <v>0.4965</v>
      </c>
    </row>
    <row r="127" spans="1:23" ht="15.75">
      <c r="A127" s="121">
        <v>41030</v>
      </c>
      <c r="B127" s="128">
        <v>3.57</v>
      </c>
      <c r="C127" s="128">
        <v>4.2884</v>
      </c>
      <c r="D127" s="123">
        <v>3.3472</v>
      </c>
      <c r="H127" s="121">
        <v>41030</v>
      </c>
      <c r="I127" s="130">
        <v>0.0011</v>
      </c>
      <c r="J127" s="130">
        <f t="shared" si="1"/>
        <v>0.0078</v>
      </c>
      <c r="K127" s="131">
        <f t="shared" si="0"/>
        <v>0.0053</v>
      </c>
      <c r="L127" s="174">
        <v>0.0505</v>
      </c>
      <c r="Q127" s="121">
        <v>41030</v>
      </c>
      <c r="R127" s="139">
        <v>0.0186</v>
      </c>
      <c r="V127" s="121">
        <v>41030</v>
      </c>
      <c r="W127" s="190">
        <v>0.4875</v>
      </c>
    </row>
    <row r="128" spans="1:23" ht="15.75">
      <c r="A128" s="121">
        <v>41061</v>
      </c>
      <c r="B128" s="128">
        <v>3.5865</v>
      </c>
      <c r="C128" s="128">
        <v>4.3072</v>
      </c>
      <c r="D128" s="123">
        <v>3.4399</v>
      </c>
      <c r="H128" s="121">
        <v>41061</v>
      </c>
      <c r="I128" s="130">
        <v>0.0011</v>
      </c>
      <c r="J128" s="130">
        <v>0.0067</v>
      </c>
      <c r="K128" s="131">
        <f t="shared" si="0"/>
        <v>0.0053</v>
      </c>
      <c r="L128" s="174">
        <v>0.0512</v>
      </c>
      <c r="Q128" s="121">
        <v>41061</v>
      </c>
      <c r="R128" s="139">
        <v>0.019200000000000002</v>
      </c>
      <c r="V128" s="121">
        <v>41061</v>
      </c>
      <c r="W128" s="190">
        <v>0.4846</v>
      </c>
    </row>
    <row r="129" spans="1:23" ht="15.75">
      <c r="A129" s="121">
        <v>41091</v>
      </c>
      <c r="B129" s="128">
        <v>3.4884</v>
      </c>
      <c r="C129" s="128">
        <v>4.1896</v>
      </c>
      <c r="D129" s="123">
        <v>3.4061</v>
      </c>
      <c r="H129" s="121">
        <v>41091</v>
      </c>
      <c r="I129" s="130">
        <v>0.0011</v>
      </c>
      <c r="J129" s="130">
        <f t="shared" si="1"/>
        <v>0.0067</v>
      </c>
      <c r="K129" s="131">
        <f t="shared" si="0"/>
        <v>0.0053</v>
      </c>
      <c r="L129" s="174">
        <v>0.0513</v>
      </c>
      <c r="Q129" s="121">
        <v>41091</v>
      </c>
      <c r="R129" s="139">
        <v>0.019500000000000003</v>
      </c>
      <c r="V129" s="121">
        <v>41091</v>
      </c>
      <c r="W129" s="190">
        <v>0.4816</v>
      </c>
    </row>
    <row r="130" spans="1:23" ht="15.75">
      <c r="A130" s="121">
        <v>41122</v>
      </c>
      <c r="B130" s="128">
        <v>3.4064</v>
      </c>
      <c r="C130" s="128">
        <v>4.0912</v>
      </c>
      <c r="D130" s="123">
        <v>3.3021</v>
      </c>
      <c r="H130" s="121">
        <v>41122</v>
      </c>
      <c r="I130" s="130">
        <v>0.0011</v>
      </c>
      <c r="J130" s="130">
        <v>0.004</v>
      </c>
      <c r="K130" s="131">
        <f t="shared" si="0"/>
        <v>0.0053</v>
      </c>
      <c r="L130" s="174">
        <v>0.051</v>
      </c>
      <c r="Q130" s="121">
        <v>41122</v>
      </c>
      <c r="R130" s="139">
        <v>0.019900000000000008</v>
      </c>
      <c r="V130" s="121">
        <v>41122</v>
      </c>
      <c r="W130" s="190">
        <v>0.4891</v>
      </c>
    </row>
    <row r="131" spans="1:23" ht="15.75">
      <c r="A131" s="121">
        <v>41153</v>
      </c>
      <c r="B131" s="128">
        <v>3.4168</v>
      </c>
      <c r="C131" s="128">
        <v>4.1314</v>
      </c>
      <c r="D131" s="123">
        <v>3.2154</v>
      </c>
      <c r="H131" s="121">
        <v>41153</v>
      </c>
      <c r="I131" s="130">
        <v>0.0011</v>
      </c>
      <c r="J131" s="130">
        <v>0.0028</v>
      </c>
      <c r="K131" s="131">
        <v>0.0042</v>
      </c>
      <c r="L131" s="174">
        <v>0.0495</v>
      </c>
      <c r="Q131" s="121">
        <v>41153</v>
      </c>
      <c r="R131" s="139">
        <v>0.020900000000000002</v>
      </c>
      <c r="V131" s="121">
        <v>41153</v>
      </c>
      <c r="W131" s="190">
        <v>0.4935</v>
      </c>
    </row>
    <row r="132" spans="1:23" ht="15.75">
      <c r="A132" s="121">
        <v>41183</v>
      </c>
      <c r="B132" s="128">
        <v>3.3965</v>
      </c>
      <c r="C132" s="128">
        <v>4.1091</v>
      </c>
      <c r="D132" s="123">
        <v>3.1672</v>
      </c>
      <c r="H132" s="121">
        <v>41183</v>
      </c>
      <c r="I132" s="130">
        <v>0.0011</v>
      </c>
      <c r="J132" s="130">
        <f t="shared" si="1"/>
        <v>0.0028</v>
      </c>
      <c r="K132" s="131">
        <f t="shared" si="0"/>
        <v>0.0042</v>
      </c>
      <c r="L132" s="174">
        <v>0.0482</v>
      </c>
      <c r="Q132" s="121">
        <v>41183</v>
      </c>
      <c r="R132" s="139">
        <v>0.0211</v>
      </c>
      <c r="V132" s="121">
        <v>41183</v>
      </c>
      <c r="W132" s="190">
        <v>0.492</v>
      </c>
    </row>
    <row r="133" spans="1:23" ht="15.75">
      <c r="A133" s="121">
        <v>41214</v>
      </c>
      <c r="B133" s="128">
        <v>3.431</v>
      </c>
      <c r="C133" s="128">
        <v>4.1354</v>
      </c>
      <c r="D133" s="123">
        <v>3.2237</v>
      </c>
      <c r="H133" s="121">
        <v>41214</v>
      </c>
      <c r="I133" s="130">
        <v>0.0011</v>
      </c>
      <c r="J133" s="130">
        <f t="shared" si="1"/>
        <v>0.0028</v>
      </c>
      <c r="K133" s="131">
        <v>0.0031</v>
      </c>
      <c r="L133" s="174">
        <v>0.0462</v>
      </c>
      <c r="Q133" s="121">
        <v>41214</v>
      </c>
      <c r="R133" s="139">
        <v>0.022</v>
      </c>
      <c r="V133" s="121">
        <v>41214</v>
      </c>
      <c r="W133" s="190">
        <v>0.4861</v>
      </c>
    </row>
    <row r="134" spans="1:23" ht="15.75">
      <c r="A134" s="121">
        <v>41244</v>
      </c>
      <c r="B134" s="128">
        <v>3.3871</v>
      </c>
      <c r="C134" s="128">
        <v>4.0938</v>
      </c>
      <c r="D134" s="123">
        <v>3.123</v>
      </c>
      <c r="H134" s="121">
        <v>41244</v>
      </c>
      <c r="I134" s="130">
        <v>0.0011</v>
      </c>
      <c r="J134" s="130">
        <f t="shared" si="1"/>
        <v>0.0028</v>
      </c>
      <c r="K134" s="131">
        <f t="shared" si="0"/>
        <v>0.0031</v>
      </c>
      <c r="L134" s="174">
        <v>0.0426</v>
      </c>
      <c r="Q134" s="121">
        <v>41244</v>
      </c>
      <c r="R134" s="139">
        <v>0.0232</v>
      </c>
      <c r="V134" s="121">
        <v>41244</v>
      </c>
      <c r="W134" s="190">
        <v>0.4846</v>
      </c>
    </row>
    <row r="135" spans="1:23" ht="15.75">
      <c r="A135" s="121">
        <v>41275</v>
      </c>
      <c r="B135" s="128">
        <v>3.3679</v>
      </c>
      <c r="C135" s="128">
        <v>4.1369</v>
      </c>
      <c r="D135" s="123">
        <v>3.1145</v>
      </c>
      <c r="H135" s="121">
        <v>41275</v>
      </c>
      <c r="I135" s="130">
        <v>0.0001</v>
      </c>
      <c r="J135" s="130">
        <f t="shared" si="1"/>
        <v>0.0028</v>
      </c>
      <c r="K135" s="131">
        <f t="shared" si="0"/>
        <v>0.0031</v>
      </c>
      <c r="L135" s="174">
        <v>0.0403</v>
      </c>
      <c r="Q135" s="121">
        <v>41275</v>
      </c>
      <c r="R135" s="139">
        <v>0.022999999999999993</v>
      </c>
      <c r="V135" s="121">
        <v>41275</v>
      </c>
      <c r="W135" s="190">
        <v>0.4831</v>
      </c>
    </row>
    <row r="136" spans="1:23" ht="15.75">
      <c r="A136" s="121">
        <v>41306</v>
      </c>
      <c r="B136" s="128">
        <v>3.3924</v>
      </c>
      <c r="C136" s="128">
        <v>4.1734</v>
      </c>
      <c r="D136" s="123">
        <v>3.1197</v>
      </c>
      <c r="H136" s="121">
        <v>41306</v>
      </c>
      <c r="I136" s="130">
        <v>0.0001</v>
      </c>
      <c r="J136" s="130">
        <f t="shared" si="1"/>
        <v>0.0028</v>
      </c>
      <c r="K136" s="131">
        <f t="shared" si="0"/>
        <v>0.0031</v>
      </c>
      <c r="L136" s="174">
        <v>0.038</v>
      </c>
      <c r="Q136" s="121">
        <v>41306</v>
      </c>
      <c r="R136" s="139">
        <v>0.0237</v>
      </c>
      <c r="V136" s="121">
        <v>41306</v>
      </c>
      <c r="W136" s="190">
        <v>0.4816</v>
      </c>
    </row>
    <row r="137" spans="1:23" ht="15.75">
      <c r="A137" s="121">
        <v>41334</v>
      </c>
      <c r="B137" s="128">
        <v>3.3908</v>
      </c>
      <c r="C137" s="128">
        <v>4.1581</v>
      </c>
      <c r="D137" s="123">
        <v>3.2058</v>
      </c>
      <c r="H137" s="121">
        <v>41334</v>
      </c>
      <c r="I137" s="130">
        <v>0.0001</v>
      </c>
      <c r="J137" s="130">
        <f t="shared" si="1"/>
        <v>0.0028</v>
      </c>
      <c r="K137" s="131">
        <f t="shared" si="0"/>
        <v>0.0031</v>
      </c>
      <c r="L137" s="174">
        <v>0.0348</v>
      </c>
      <c r="Q137" s="121">
        <v>41334</v>
      </c>
      <c r="R137" s="139">
        <v>0.024900000000000005</v>
      </c>
      <c r="V137" s="121">
        <v>41334</v>
      </c>
      <c r="W137" s="190">
        <v>0.4816</v>
      </c>
    </row>
    <row r="138" spans="1:23" ht="15.75">
      <c r="A138" s="121">
        <v>41365</v>
      </c>
      <c r="B138" s="128">
        <v>3.3946</v>
      </c>
      <c r="C138" s="128">
        <v>4.1409</v>
      </c>
      <c r="D138" s="123">
        <v>3.1825</v>
      </c>
      <c r="H138" s="121">
        <v>41365</v>
      </c>
      <c r="I138" s="130">
        <v>0.0001</v>
      </c>
      <c r="J138" s="130">
        <f t="shared" si="1"/>
        <v>0.0028</v>
      </c>
      <c r="K138" s="131">
        <f t="shared" si="0"/>
        <v>0.0031</v>
      </c>
      <c r="L138" s="174">
        <v>0.0329</v>
      </c>
      <c r="Q138" s="121">
        <v>41365</v>
      </c>
      <c r="R138" s="139">
        <v>0.024100000000000003</v>
      </c>
      <c r="V138" s="121">
        <v>41365</v>
      </c>
      <c r="W138" s="190">
        <v>0.4787</v>
      </c>
    </row>
    <row r="139" spans="1:23" ht="15.75">
      <c r="A139" s="121">
        <v>41395</v>
      </c>
      <c r="B139" s="128">
        <v>3.3653</v>
      </c>
      <c r="C139" s="128">
        <v>4.1759</v>
      </c>
      <c r="D139" s="123">
        <v>3.2149</v>
      </c>
      <c r="H139" s="121">
        <v>41395</v>
      </c>
      <c r="I139" s="130">
        <v>0.0001</v>
      </c>
      <c r="J139" s="130">
        <f t="shared" si="1"/>
        <v>0.0028</v>
      </c>
      <c r="K139" s="131">
        <f t="shared" si="0"/>
        <v>0.0031</v>
      </c>
      <c r="L139" s="174">
        <v>0.0286</v>
      </c>
      <c r="Q139" s="121">
        <v>41395</v>
      </c>
      <c r="R139" s="139">
        <v>0.025599999999999998</v>
      </c>
      <c r="V139" s="121">
        <v>41395</v>
      </c>
      <c r="W139" s="190">
        <v>0.4728</v>
      </c>
    </row>
    <row r="140" spans="1:23" ht="15.75">
      <c r="A140" s="121">
        <v>41426</v>
      </c>
      <c r="B140" s="128">
        <v>3.4775</v>
      </c>
      <c r="C140" s="128">
        <v>4.2865</v>
      </c>
      <c r="D140" s="123">
        <v>3.2512</v>
      </c>
      <c r="H140" s="121">
        <v>41426</v>
      </c>
      <c r="I140" s="130">
        <v>0.0001</v>
      </c>
      <c r="J140" s="130">
        <f t="shared" si="1"/>
        <v>0.0028</v>
      </c>
      <c r="K140" s="131">
        <f t="shared" si="0"/>
        <v>0.0031</v>
      </c>
      <c r="L140" s="174">
        <v>0.0274</v>
      </c>
      <c r="Q140" s="121">
        <v>41426</v>
      </c>
      <c r="R140" s="139">
        <v>0.023899999999999998</v>
      </c>
      <c r="V140" s="121">
        <v>41426</v>
      </c>
      <c r="W140" s="190">
        <v>0.4743</v>
      </c>
    </row>
    <row r="141" spans="1:23" ht="15.75">
      <c r="A141" s="121">
        <v>41456</v>
      </c>
      <c r="B141" s="128">
        <v>3.4582</v>
      </c>
      <c r="C141" s="128">
        <v>4.2756</v>
      </c>
      <c r="D141" s="123">
        <v>3.2688</v>
      </c>
      <c r="H141" s="121">
        <v>41456</v>
      </c>
      <c r="I141" s="130">
        <v>0.0001</v>
      </c>
      <c r="J141" s="130">
        <f t="shared" si="1"/>
        <v>0.0028</v>
      </c>
      <c r="K141" s="131">
        <f t="shared" si="0"/>
        <v>0.0031</v>
      </c>
      <c r="L141" s="174">
        <v>0.027</v>
      </c>
      <c r="Q141" s="121">
        <v>41456</v>
      </c>
      <c r="R141" s="139">
        <v>0.0232</v>
      </c>
      <c r="V141" s="121">
        <v>41456</v>
      </c>
      <c r="W141" s="190">
        <v>0.4743</v>
      </c>
    </row>
    <row r="142" spans="1:23" ht="15.75">
      <c r="A142" s="121">
        <v>41487</v>
      </c>
      <c r="B142" s="128">
        <v>3.4276</v>
      </c>
      <c r="C142" s="128">
        <v>4.2295</v>
      </c>
      <c r="D142" s="123">
        <v>3.1767</v>
      </c>
      <c r="H142" s="121">
        <v>41487</v>
      </c>
      <c r="I142" s="130">
        <v>0.0001</v>
      </c>
      <c r="J142" s="130">
        <f t="shared" si="1"/>
        <v>0.0028</v>
      </c>
      <c r="K142" s="131">
        <f t="shared" si="0"/>
        <v>0.0031</v>
      </c>
      <c r="L142" s="174">
        <v>0.027</v>
      </c>
      <c r="Q142" s="121">
        <v>41487</v>
      </c>
      <c r="R142" s="139">
        <v>0.0237</v>
      </c>
      <c r="V142" s="121">
        <v>41487</v>
      </c>
      <c r="W142" s="190">
        <v>0.4699</v>
      </c>
    </row>
    <row r="143" spans="1:23" ht="15.75">
      <c r="A143" s="121">
        <v>41518</v>
      </c>
      <c r="B143" s="128">
        <v>3.4349</v>
      </c>
      <c r="C143" s="128">
        <v>4.2376</v>
      </c>
      <c r="D143" s="123">
        <v>3.175</v>
      </c>
      <c r="H143" s="121">
        <v>41518</v>
      </c>
      <c r="I143" s="130">
        <v>0.0001</v>
      </c>
      <c r="J143" s="130">
        <f t="shared" si="1"/>
        <v>0.0028</v>
      </c>
      <c r="K143" s="131">
        <f t="shared" si="0"/>
        <v>0.0031</v>
      </c>
      <c r="L143" s="174">
        <v>0.0269</v>
      </c>
      <c r="Q143" s="121">
        <v>41518</v>
      </c>
      <c r="R143" s="139">
        <v>0.0242</v>
      </c>
      <c r="V143" s="121">
        <v>41518</v>
      </c>
      <c r="W143" s="190">
        <v>0.4743</v>
      </c>
    </row>
    <row r="144" spans="1:23" ht="15.75">
      <c r="A144" s="121">
        <v>41548</v>
      </c>
      <c r="B144" s="128">
        <v>3.4033</v>
      </c>
      <c r="C144" s="128">
        <v>4.1908</v>
      </c>
      <c r="D144" s="123">
        <v>3.0704</v>
      </c>
      <c r="H144" s="121">
        <v>41548</v>
      </c>
      <c r="I144" s="130">
        <v>0.0001</v>
      </c>
      <c r="J144" s="130">
        <f t="shared" si="1"/>
        <v>0.0028</v>
      </c>
      <c r="K144" s="131">
        <f t="shared" si="0"/>
        <v>0.0031</v>
      </c>
      <c r="L144" s="174">
        <v>0.0267</v>
      </c>
      <c r="Q144" s="121">
        <v>41548</v>
      </c>
      <c r="R144" s="139">
        <v>0.024200000000000003</v>
      </c>
      <c r="V144" s="121">
        <v>41548</v>
      </c>
      <c r="W144" s="190">
        <v>0.4728</v>
      </c>
    </row>
    <row r="145" spans="1:23" ht="15.75">
      <c r="A145" s="121">
        <v>41579</v>
      </c>
      <c r="B145" s="128">
        <v>3.3996</v>
      </c>
      <c r="C145" s="128">
        <v>4.1882</v>
      </c>
      <c r="D145" s="123">
        <v>3.0998</v>
      </c>
      <c r="H145" s="121">
        <v>41579</v>
      </c>
      <c r="I145" s="130">
        <v>0.0001</v>
      </c>
      <c r="J145" s="130">
        <f t="shared" si="1"/>
        <v>0.0028</v>
      </c>
      <c r="K145" s="131">
        <f t="shared" si="0"/>
        <v>0.0031</v>
      </c>
      <c r="L145" s="174">
        <v>0.0265</v>
      </c>
      <c r="Q145" s="121">
        <v>41579</v>
      </c>
      <c r="R145" s="139">
        <v>0.0244</v>
      </c>
      <c r="V145" s="121">
        <v>41579</v>
      </c>
      <c r="W145" s="190">
        <v>0.4699</v>
      </c>
    </row>
    <row r="146" spans="1:23" ht="15.75">
      <c r="A146" s="121">
        <v>41609</v>
      </c>
      <c r="B146" s="128">
        <v>3.4088</v>
      </c>
      <c r="C146" s="128">
        <v>4.1757</v>
      </c>
      <c r="D146" s="123">
        <v>3.0481</v>
      </c>
      <c r="H146" s="121">
        <v>41609</v>
      </c>
      <c r="I146" s="130">
        <v>0.0001</v>
      </c>
      <c r="J146" s="130">
        <f t="shared" si="1"/>
        <v>0.0028</v>
      </c>
      <c r="K146" s="131">
        <f t="shared" si="0"/>
        <v>0.0031</v>
      </c>
      <c r="L146" s="174">
        <v>0.0267</v>
      </c>
      <c r="Q146" s="121">
        <v>41609</v>
      </c>
      <c r="R146" s="139">
        <v>0.0244</v>
      </c>
      <c r="V146" s="121">
        <v>41609</v>
      </c>
      <c r="W146" s="190">
        <v>0.4728</v>
      </c>
    </row>
    <row r="147" spans="1:23" ht="15.75">
      <c r="A147" s="121">
        <v>41640</v>
      </c>
      <c r="B147" s="128">
        <v>3.3935</v>
      </c>
      <c r="C147" s="128">
        <v>4.1776</v>
      </c>
      <c r="D147" s="123">
        <v>3.065</v>
      </c>
      <c r="H147" s="121">
        <v>41640</v>
      </c>
      <c r="I147" s="130">
        <v>0.0001</v>
      </c>
      <c r="J147" s="130">
        <f t="shared" si="1"/>
        <v>0.0028</v>
      </c>
      <c r="K147" s="131">
        <f t="shared" si="0"/>
        <v>0.0031</v>
      </c>
      <c r="L147" s="174">
        <v>0.027</v>
      </c>
      <c r="Q147" s="121">
        <v>41640</v>
      </c>
      <c r="R147" s="139">
        <v>0.0247</v>
      </c>
      <c r="V147" s="121">
        <v>41640</v>
      </c>
      <c r="W147" s="190">
        <v>0.4713</v>
      </c>
    </row>
    <row r="148" spans="1:23" ht="15.75">
      <c r="A148" s="121">
        <v>41671</v>
      </c>
      <c r="B148" s="128">
        <v>3.4205</v>
      </c>
      <c r="C148" s="128">
        <v>4.1786</v>
      </c>
      <c r="D148" s="123">
        <v>3.0613</v>
      </c>
      <c r="H148" s="121">
        <v>41671</v>
      </c>
      <c r="I148" s="130">
        <v>0.0001</v>
      </c>
      <c r="J148" s="130">
        <f t="shared" si="1"/>
        <v>0.0028</v>
      </c>
      <c r="K148" s="131">
        <f t="shared" si="0"/>
        <v>0.0031</v>
      </c>
      <c r="L148" s="174">
        <v>0.0271</v>
      </c>
      <c r="Q148" s="121">
        <v>41671</v>
      </c>
      <c r="R148" s="139">
        <v>0.024399999999999998</v>
      </c>
      <c r="V148" s="121">
        <v>41671</v>
      </c>
      <c r="W148" s="190">
        <v>0.4699</v>
      </c>
    </row>
    <row r="149" spans="1:23" ht="15.75">
      <c r="A149" s="121">
        <v>41699</v>
      </c>
      <c r="B149" s="128">
        <v>3.4471</v>
      </c>
      <c r="C149" s="128">
        <v>4.1972</v>
      </c>
      <c r="D149" s="123">
        <v>3.0378</v>
      </c>
      <c r="H149" s="121">
        <v>41699</v>
      </c>
      <c r="I149" s="130">
        <v>0.0001</v>
      </c>
      <c r="J149" s="130">
        <f t="shared" si="1"/>
        <v>0.0028</v>
      </c>
      <c r="K149" s="131">
        <f t="shared" si="0"/>
        <v>0.0031</v>
      </c>
      <c r="L149" s="174">
        <v>0.0271</v>
      </c>
      <c r="Q149" s="121">
        <v>41699</v>
      </c>
      <c r="R149" s="139">
        <v>0.024800000000000003</v>
      </c>
      <c r="V149" s="121">
        <v>41699</v>
      </c>
      <c r="W149" s="190">
        <v>0.4684</v>
      </c>
    </row>
    <row r="150" spans="1:23" ht="15.75">
      <c r="A150" s="121">
        <v>41730</v>
      </c>
      <c r="B150" s="128">
        <v>3.4317</v>
      </c>
      <c r="C150" s="128">
        <v>4.1841</v>
      </c>
      <c r="D150" s="123">
        <v>3.0293</v>
      </c>
      <c r="H150" s="121">
        <v>41730</v>
      </c>
      <c r="I150" s="130">
        <v>0.0001</v>
      </c>
      <c r="J150" s="130">
        <f t="shared" si="1"/>
        <v>0.0028</v>
      </c>
      <c r="K150" s="131">
        <f t="shared" si="0"/>
        <v>0.0031</v>
      </c>
      <c r="L150" s="174">
        <v>0.0272</v>
      </c>
      <c r="Q150" s="121">
        <v>41730</v>
      </c>
      <c r="R150" s="139">
        <v>0.0252</v>
      </c>
      <c r="V150" s="121">
        <v>41730</v>
      </c>
      <c r="W150" s="190">
        <v>0.4669</v>
      </c>
    </row>
    <row r="151" spans="1:23" ht="15.75">
      <c r="A151" s="121">
        <v>41760</v>
      </c>
      <c r="B151" s="128">
        <v>3.4244</v>
      </c>
      <c r="C151" s="128">
        <v>4.179</v>
      </c>
      <c r="D151" s="123">
        <v>3.0415</v>
      </c>
      <c r="H151" s="121">
        <v>41760</v>
      </c>
      <c r="I151" s="130">
        <v>0.0001</v>
      </c>
      <c r="J151" s="130">
        <f t="shared" si="1"/>
        <v>0.0028</v>
      </c>
      <c r="K151" s="131">
        <f t="shared" si="0"/>
        <v>0.0031</v>
      </c>
      <c r="L151" s="174">
        <v>0.0272</v>
      </c>
      <c r="Q151" s="121">
        <v>41760</v>
      </c>
      <c r="R151" s="139">
        <v>0.0259</v>
      </c>
      <c r="V151" s="121">
        <v>41760</v>
      </c>
      <c r="W151" s="190">
        <v>0.4669</v>
      </c>
    </row>
    <row r="152" spans="1:23" ht="15.75">
      <c r="A152" s="121">
        <v>41791</v>
      </c>
      <c r="B152" s="128">
        <v>3.3965</v>
      </c>
      <c r="C152" s="128">
        <v>4.1369</v>
      </c>
      <c r="D152" s="123">
        <v>3.0425</v>
      </c>
      <c r="H152" s="121">
        <v>41791</v>
      </c>
      <c r="I152" s="130">
        <v>0.0001</v>
      </c>
      <c r="J152" s="130">
        <f t="shared" si="1"/>
        <v>0.0028</v>
      </c>
      <c r="K152" s="131">
        <f t="shared" si="0"/>
        <v>0.0031</v>
      </c>
      <c r="L152" s="174">
        <v>0.0269</v>
      </c>
      <c r="Q152" s="121">
        <v>41791</v>
      </c>
      <c r="R152" s="139">
        <v>0.0266</v>
      </c>
      <c r="V152" s="121">
        <v>41791</v>
      </c>
      <c r="W152" s="190">
        <v>0.4684</v>
      </c>
    </row>
    <row r="153" spans="1:23" ht="15.75">
      <c r="A153" s="121">
        <v>41821</v>
      </c>
      <c r="B153" s="128">
        <v>3.4114</v>
      </c>
      <c r="C153" s="128">
        <v>4.1447</v>
      </c>
      <c r="D153" s="123">
        <v>3.0598</v>
      </c>
      <c r="H153" s="121">
        <v>41821</v>
      </c>
      <c r="I153" s="130">
        <v>0.0001</v>
      </c>
      <c r="J153" s="130">
        <f t="shared" si="1"/>
        <v>0.0028</v>
      </c>
      <c r="K153" s="131">
        <f t="shared" si="0"/>
        <v>0.0031</v>
      </c>
      <c r="L153" s="174">
        <v>0.0268</v>
      </c>
      <c r="Q153" s="121">
        <v>41821</v>
      </c>
      <c r="R153" s="139">
        <v>0.027</v>
      </c>
      <c r="V153" s="121">
        <v>41821</v>
      </c>
      <c r="W153" s="190">
        <v>0.4684</v>
      </c>
    </row>
    <row r="154" spans="1:23" ht="15.75">
      <c r="A154" s="121">
        <v>41852</v>
      </c>
      <c r="B154" s="128">
        <v>3.4602</v>
      </c>
      <c r="C154" s="128">
        <v>4.1932</v>
      </c>
      <c r="D154" s="123">
        <v>3.1482</v>
      </c>
      <c r="H154" s="121">
        <v>41852</v>
      </c>
      <c r="I154" s="130">
        <v>0.0001</v>
      </c>
      <c r="J154" s="130">
        <f t="shared" si="1"/>
        <v>0.0028</v>
      </c>
      <c r="K154" s="131">
        <f t="shared" si="0"/>
        <v>0.0031</v>
      </c>
      <c r="L154" s="174">
        <v>0.0265</v>
      </c>
      <c r="Q154" s="121">
        <v>41852</v>
      </c>
      <c r="R154" s="139">
        <v>0.0272</v>
      </c>
      <c r="V154" s="121">
        <v>41852</v>
      </c>
      <c r="W154" s="190">
        <v>0.4714</v>
      </c>
    </row>
    <row r="155" spans="1:23" ht="15.75">
      <c r="A155" s="121">
        <v>41883</v>
      </c>
      <c r="B155" s="128">
        <v>3.4695</v>
      </c>
      <c r="C155" s="128">
        <v>4.1901</v>
      </c>
      <c r="D155" s="123">
        <v>3.2475</v>
      </c>
      <c r="H155" s="121">
        <v>41883</v>
      </c>
      <c r="I155" s="130">
        <v>0.0001</v>
      </c>
      <c r="J155" s="130">
        <v>0.0017</v>
      </c>
      <c r="K155" s="131">
        <f t="shared" si="0"/>
        <v>0.0031</v>
      </c>
      <c r="L155" s="174">
        <v>0.0245</v>
      </c>
      <c r="Q155" s="121">
        <v>41883</v>
      </c>
      <c r="R155" s="139">
        <v>0.028199999999999996</v>
      </c>
      <c r="V155" s="121">
        <v>41883</v>
      </c>
      <c r="W155" s="190">
        <v>0.4773</v>
      </c>
    </row>
    <row r="156" spans="1:23" ht="15.75">
      <c r="A156" s="121">
        <v>41913</v>
      </c>
      <c r="B156" s="128">
        <v>3.4814</v>
      </c>
      <c r="C156" s="128">
        <v>4.205</v>
      </c>
      <c r="D156" s="123">
        <v>3.3152</v>
      </c>
      <c r="H156" s="121">
        <v>41913</v>
      </c>
      <c r="I156" s="130">
        <v>0.0001</v>
      </c>
      <c r="J156" s="130">
        <f t="shared" si="1"/>
        <v>0.0017</v>
      </c>
      <c r="K156" s="131">
        <f t="shared" si="0"/>
        <v>0.0031</v>
      </c>
      <c r="L156" s="174">
        <v>0.0207</v>
      </c>
      <c r="Q156" s="121">
        <v>41913</v>
      </c>
      <c r="R156" s="139">
        <v>0.028599999999999997</v>
      </c>
      <c r="V156" s="121">
        <v>41913</v>
      </c>
      <c r="W156" s="190">
        <v>0.4773</v>
      </c>
    </row>
    <row r="157" spans="1:23" ht="15.75">
      <c r="A157" s="121">
        <v>41944</v>
      </c>
      <c r="B157" s="128">
        <v>3.5011</v>
      </c>
      <c r="C157" s="128">
        <v>4.2115</v>
      </c>
      <c r="D157" s="123">
        <v>3.3777</v>
      </c>
      <c r="H157" s="121">
        <v>41944</v>
      </c>
      <c r="I157" s="130">
        <v>0.0001</v>
      </c>
      <c r="J157" s="130">
        <f t="shared" si="1"/>
        <v>0.0017</v>
      </c>
      <c r="K157" s="131">
        <f t="shared" si="0"/>
        <v>0.0031</v>
      </c>
      <c r="L157" s="174">
        <v>0.0203</v>
      </c>
      <c r="Q157" s="121">
        <v>41944</v>
      </c>
      <c r="R157" s="139">
        <v>0.028200000000000003</v>
      </c>
      <c r="V157" s="121">
        <v>41944</v>
      </c>
      <c r="W157" s="190">
        <v>0.4773</v>
      </c>
    </row>
    <row r="158" spans="1:23" ht="15.75">
      <c r="A158" s="121">
        <v>41974</v>
      </c>
      <c r="B158" s="128">
        <v>3.5123</v>
      </c>
      <c r="C158" s="128">
        <v>4.2233</v>
      </c>
      <c r="D158" s="123">
        <v>3.4287</v>
      </c>
      <c r="H158" s="121">
        <v>41974</v>
      </c>
      <c r="I158" s="130">
        <v>0.0001</v>
      </c>
      <c r="J158" s="130">
        <f t="shared" si="1"/>
        <v>0.0017</v>
      </c>
      <c r="K158" s="131">
        <f t="shared" si="0"/>
        <v>0.0031</v>
      </c>
      <c r="L158" s="174">
        <v>0.0206</v>
      </c>
      <c r="Q158" s="121">
        <v>41974</v>
      </c>
      <c r="R158" s="139">
        <v>0.027499999999999997</v>
      </c>
      <c r="V158" s="121">
        <v>41974</v>
      </c>
      <c r="W158" s="190">
        <v>0.4802</v>
      </c>
    </row>
    <row r="159" spans="1:23" ht="15.75">
      <c r="A159" s="121">
        <v>42005</v>
      </c>
      <c r="B159" s="128">
        <v>3.9273</v>
      </c>
      <c r="C159" s="128">
        <v>4.2797</v>
      </c>
      <c r="D159" s="123">
        <v>3.6739</v>
      </c>
      <c r="H159" s="121">
        <v>42005</v>
      </c>
      <c r="I159" s="130">
        <v>0.0001</v>
      </c>
      <c r="J159" s="130">
        <f t="shared" si="1"/>
        <v>0.0017</v>
      </c>
      <c r="K159" s="131">
        <f aca="true" t="shared" si="2" ref="K159:K160">K158</f>
        <v>0.0031</v>
      </c>
      <c r="L159" s="174">
        <v>0.0203</v>
      </c>
      <c r="Q159" s="121">
        <v>42005</v>
      </c>
      <c r="R159" s="139">
        <v>0.028000000000000004</v>
      </c>
      <c r="V159" s="121">
        <v>42005</v>
      </c>
      <c r="W159" s="190">
        <v>0.4847</v>
      </c>
    </row>
    <row r="160" spans="1:23" ht="15.75">
      <c r="A160" s="121">
        <v>42036</v>
      </c>
      <c r="B160" s="128">
        <v>3.9322</v>
      </c>
      <c r="C160" s="128">
        <v>4.1776</v>
      </c>
      <c r="D160" s="123">
        <v>3.6766</v>
      </c>
      <c r="H160" s="121">
        <v>42036</v>
      </c>
      <c r="I160" s="132">
        <v>-0.0086</v>
      </c>
      <c r="J160" s="130">
        <v>0.0005</v>
      </c>
      <c r="K160" s="131">
        <f t="shared" si="2"/>
        <v>0.0031</v>
      </c>
      <c r="L160" s="174">
        <v>0.0192</v>
      </c>
      <c r="Q160" s="121">
        <v>42036</v>
      </c>
      <c r="R160" s="139">
        <v>0.027600000000000003</v>
      </c>
      <c r="V160" s="121">
        <v>42036</v>
      </c>
      <c r="W160" s="190">
        <v>0.4877</v>
      </c>
    </row>
    <row r="161" spans="1:23" ht="15.75">
      <c r="A161" s="121">
        <v>42064</v>
      </c>
      <c r="B161" s="128">
        <v>3.8912</v>
      </c>
      <c r="C161" s="128">
        <v>4.1278</v>
      </c>
      <c r="D161" s="123">
        <v>3.8138</v>
      </c>
      <c r="H161" s="121">
        <v>42064</v>
      </c>
      <c r="I161" s="132">
        <v>-0.0086</v>
      </c>
      <c r="J161" s="130">
        <f aca="true" t="shared" si="3" ref="J161:J222">J160</f>
        <v>0.0005</v>
      </c>
      <c r="K161" s="131">
        <f aca="true" t="shared" si="4" ref="K161:K165">K160</f>
        <v>0.0031</v>
      </c>
      <c r="L161" s="174">
        <v>0.0167</v>
      </c>
      <c r="Q161" s="121">
        <v>42064</v>
      </c>
      <c r="R161" s="139">
        <v>0.028200000000000003</v>
      </c>
      <c r="V161" s="121">
        <v>42064</v>
      </c>
      <c r="W161" s="190">
        <v>0.4891</v>
      </c>
    </row>
    <row r="162" spans="1:23" ht="15.75">
      <c r="A162" s="121">
        <v>42095</v>
      </c>
      <c r="B162" s="128">
        <v>3.8812</v>
      </c>
      <c r="C162" s="128">
        <v>4.0291</v>
      </c>
      <c r="D162" s="123">
        <v>3.7347</v>
      </c>
      <c r="H162" s="121">
        <v>42095</v>
      </c>
      <c r="I162" s="132">
        <v>-0.0086</v>
      </c>
      <c r="J162" s="130">
        <f t="shared" si="3"/>
        <v>0.0005</v>
      </c>
      <c r="K162" s="131">
        <f t="shared" si="4"/>
        <v>0.0031</v>
      </c>
      <c r="L162" s="174">
        <v>0.0165</v>
      </c>
      <c r="Q162" s="121">
        <v>42095</v>
      </c>
      <c r="R162" s="139">
        <v>0.026999999999999996</v>
      </c>
      <c r="V162" s="121">
        <v>42095</v>
      </c>
      <c r="W162" s="190">
        <v>0.4862</v>
      </c>
    </row>
    <row r="163" spans="1:23" ht="15.75">
      <c r="A163" s="121">
        <v>42125</v>
      </c>
      <c r="B163" s="128">
        <v>3.9211</v>
      </c>
      <c r="C163" s="128">
        <v>4.0783</v>
      </c>
      <c r="D163" s="123">
        <v>3.652</v>
      </c>
      <c r="H163" s="121">
        <v>42125</v>
      </c>
      <c r="I163" s="132">
        <v>-0.0086</v>
      </c>
      <c r="J163" s="130">
        <f t="shared" si="3"/>
        <v>0.0005</v>
      </c>
      <c r="K163" s="131">
        <f t="shared" si="4"/>
        <v>0.0031</v>
      </c>
      <c r="L163" s="174">
        <v>0.0167</v>
      </c>
      <c r="Q163" s="121">
        <v>42125</v>
      </c>
      <c r="R163" s="139">
        <v>0.0269</v>
      </c>
      <c r="V163" s="121">
        <v>42125</v>
      </c>
      <c r="W163" s="190">
        <v>0.4802</v>
      </c>
    </row>
    <row r="164" spans="1:23" ht="15.75">
      <c r="A164" s="121">
        <v>42156</v>
      </c>
      <c r="B164" s="128">
        <v>3.9817</v>
      </c>
      <c r="C164" s="128">
        <v>4.1597</v>
      </c>
      <c r="D164" s="123">
        <v>3.7103</v>
      </c>
      <c r="H164" s="121">
        <v>42156</v>
      </c>
      <c r="I164" s="132">
        <v>-0.0086</v>
      </c>
      <c r="J164" s="130">
        <f t="shared" si="3"/>
        <v>0.0005</v>
      </c>
      <c r="K164" s="131">
        <f t="shared" si="4"/>
        <v>0.0031</v>
      </c>
      <c r="L164" s="174">
        <v>0.017</v>
      </c>
      <c r="Q164" s="121">
        <v>42156</v>
      </c>
      <c r="R164" s="139">
        <v>0.0266</v>
      </c>
      <c r="V164" s="121">
        <v>42156</v>
      </c>
      <c r="W164" s="190">
        <v>0.4802</v>
      </c>
    </row>
    <row r="165" spans="1:23" ht="15.75">
      <c r="A165" s="121">
        <v>42186</v>
      </c>
      <c r="B165" s="128">
        <v>3.9627</v>
      </c>
      <c r="C165" s="128">
        <v>4.154</v>
      </c>
      <c r="D165" s="123">
        <v>3.7734</v>
      </c>
      <c r="H165" s="121">
        <v>42186</v>
      </c>
      <c r="I165" s="132">
        <v>-0.0074</v>
      </c>
      <c r="J165" s="130">
        <f t="shared" si="3"/>
        <v>0.0005</v>
      </c>
      <c r="K165" s="131">
        <f t="shared" si="4"/>
        <v>0.0031</v>
      </c>
      <c r="L165" s="174">
        <v>0.0172</v>
      </c>
      <c r="Q165" s="121">
        <v>42186</v>
      </c>
      <c r="R165" s="139">
        <v>0.027000000000000003</v>
      </c>
      <c r="V165" s="121">
        <v>42186</v>
      </c>
      <c r="W165" s="190">
        <v>0.4802</v>
      </c>
    </row>
    <row r="166" spans="1:23" ht="15.75">
      <c r="A166" s="121">
        <v>42217</v>
      </c>
      <c r="B166" s="128">
        <v>3.8929</v>
      </c>
      <c r="C166" s="128">
        <v>4.1936</v>
      </c>
      <c r="D166" s="123">
        <v>3.7685</v>
      </c>
      <c r="H166" s="121">
        <v>42217</v>
      </c>
      <c r="I166" s="132">
        <v>-0.0074</v>
      </c>
      <c r="J166" s="130">
        <f t="shared" si="3"/>
        <v>0.0005</v>
      </c>
      <c r="K166" s="131">
        <f aca="true" t="shared" si="5" ref="K166:K229">K165</f>
        <v>0.0031</v>
      </c>
      <c r="L166" s="174">
        <v>0.0172</v>
      </c>
      <c r="Q166" s="121">
        <v>42217</v>
      </c>
      <c r="R166" s="139">
        <v>0.0271</v>
      </c>
      <c r="V166" s="121">
        <v>42217</v>
      </c>
      <c r="W166" s="190">
        <v>0.4817</v>
      </c>
    </row>
    <row r="167" spans="1:23" ht="15.75">
      <c r="A167" s="121">
        <v>42248</v>
      </c>
      <c r="B167" s="128">
        <v>3.8605</v>
      </c>
      <c r="C167" s="128">
        <v>4.2169</v>
      </c>
      <c r="D167" s="123">
        <v>3.7513</v>
      </c>
      <c r="H167" s="121">
        <v>42248</v>
      </c>
      <c r="I167" s="132">
        <v>-0.0074</v>
      </c>
      <c r="J167" s="130">
        <f t="shared" si="3"/>
        <v>0.0005</v>
      </c>
      <c r="K167" s="131">
        <f t="shared" si="5"/>
        <v>0.0031</v>
      </c>
      <c r="L167" s="174">
        <v>0.0172</v>
      </c>
      <c r="Q167" s="121">
        <v>42248</v>
      </c>
      <c r="R167" s="139">
        <v>0.027299999999999998</v>
      </c>
      <c r="V167" s="121">
        <v>42248</v>
      </c>
      <c r="W167" s="190">
        <v>0.4877</v>
      </c>
    </row>
    <row r="168" spans="1:23" ht="15.75">
      <c r="A168" s="121">
        <v>42278</v>
      </c>
      <c r="B168" s="128">
        <v>3.9055</v>
      </c>
      <c r="C168" s="128">
        <v>4.246</v>
      </c>
      <c r="D168" s="123">
        <v>3.7807</v>
      </c>
      <c r="H168" s="121">
        <v>42278</v>
      </c>
      <c r="I168" s="132">
        <v>-0.0074</v>
      </c>
      <c r="J168" s="130">
        <f t="shared" si="3"/>
        <v>0.0005</v>
      </c>
      <c r="K168" s="131">
        <f t="shared" si="5"/>
        <v>0.0031</v>
      </c>
      <c r="L168" s="174">
        <v>0.0173</v>
      </c>
      <c r="Q168" s="121">
        <v>42278</v>
      </c>
      <c r="R168" s="139">
        <v>0.0275</v>
      </c>
      <c r="V168" s="121">
        <v>42278</v>
      </c>
      <c r="W168" s="190">
        <v>0.4922</v>
      </c>
    </row>
    <row r="169" spans="1:23" ht="15.75">
      <c r="A169" s="121">
        <v>42309</v>
      </c>
      <c r="B169" s="128">
        <v>3.9239</v>
      </c>
      <c r="C169" s="128">
        <v>4.2503</v>
      </c>
      <c r="D169" s="123">
        <v>3.9571</v>
      </c>
      <c r="H169" s="121">
        <v>42309</v>
      </c>
      <c r="I169" s="132">
        <v>-0.0074</v>
      </c>
      <c r="J169" s="130">
        <v>0.0007</v>
      </c>
      <c r="K169" s="131">
        <f t="shared" si="5"/>
        <v>0.0031</v>
      </c>
      <c r="L169" s="174">
        <v>0.0173</v>
      </c>
      <c r="Q169" s="121">
        <v>42309</v>
      </c>
      <c r="R169" s="139">
        <v>0.0272</v>
      </c>
      <c r="V169" s="121">
        <v>42309</v>
      </c>
      <c r="W169" s="190">
        <v>0.4907</v>
      </c>
    </row>
    <row r="170" spans="1:23" ht="15.75">
      <c r="A170" s="121">
        <v>42339</v>
      </c>
      <c r="B170" s="128">
        <v>3.9613</v>
      </c>
      <c r="C170" s="128">
        <v>4.2905</v>
      </c>
      <c r="D170" s="123">
        <v>3.9417</v>
      </c>
      <c r="H170" s="121">
        <v>42339</v>
      </c>
      <c r="I170" s="132">
        <v>-0.0074</v>
      </c>
      <c r="J170" s="130">
        <f t="shared" si="3"/>
        <v>0.0007</v>
      </c>
      <c r="K170" s="131">
        <v>0.0041</v>
      </c>
      <c r="L170" s="174">
        <v>0.0172</v>
      </c>
      <c r="Q170" s="121">
        <v>42339</v>
      </c>
      <c r="R170" s="139">
        <v>0.027999999999999997</v>
      </c>
      <c r="V170" s="121">
        <v>42339</v>
      </c>
      <c r="W170" s="190">
        <v>0.4922</v>
      </c>
    </row>
    <row r="171" spans="1:23" ht="15.75">
      <c r="A171" s="121">
        <v>42370</v>
      </c>
      <c r="B171" s="128">
        <v>4.0176</v>
      </c>
      <c r="C171" s="128">
        <v>4.3935</v>
      </c>
      <c r="D171" s="123">
        <v>4.0397</v>
      </c>
      <c r="H171" s="121">
        <v>42370</v>
      </c>
      <c r="I171" s="132">
        <v>-0.0074</v>
      </c>
      <c r="J171" s="130">
        <f t="shared" si="3"/>
        <v>0.0007</v>
      </c>
      <c r="K171" s="131">
        <v>0.0061</v>
      </c>
      <c r="L171" s="174">
        <v>0.0171</v>
      </c>
      <c r="Q171" s="121">
        <v>42370</v>
      </c>
      <c r="R171" s="139">
        <v>0.028599999999999997</v>
      </c>
      <c r="V171" s="121">
        <v>42370</v>
      </c>
      <c r="W171" s="190">
        <v>0.4952</v>
      </c>
    </row>
    <row r="172" spans="1:23" ht="15.75">
      <c r="A172" s="121">
        <v>42401</v>
      </c>
      <c r="B172" s="123">
        <v>3.9895</v>
      </c>
      <c r="C172" s="123">
        <v>4.396</v>
      </c>
      <c r="D172" s="123">
        <v>3.9565</v>
      </c>
      <c r="H172" s="121">
        <v>42401</v>
      </c>
      <c r="I172" s="132">
        <v>-0.0074</v>
      </c>
      <c r="J172" s="130">
        <f t="shared" si="3"/>
        <v>0.0007</v>
      </c>
      <c r="K172" s="131">
        <f t="shared" si="5"/>
        <v>0.0061</v>
      </c>
      <c r="L172" s="174">
        <v>0.0169</v>
      </c>
      <c r="Q172" s="121">
        <v>42401</v>
      </c>
      <c r="R172" s="139">
        <v>0.029400000000000003</v>
      </c>
      <c r="V172" s="121">
        <v>42401</v>
      </c>
      <c r="W172" s="190">
        <v>0.5027</v>
      </c>
    </row>
    <row r="173" spans="1:23" ht="15.75">
      <c r="A173" s="121">
        <v>42430</v>
      </c>
      <c r="B173" s="123">
        <v>3.9311</v>
      </c>
      <c r="C173" s="123">
        <v>4.2934</v>
      </c>
      <c r="D173" s="123">
        <v>3.8644</v>
      </c>
      <c r="H173" s="121">
        <v>42430</v>
      </c>
      <c r="I173" s="132">
        <v>-0.0074</v>
      </c>
      <c r="J173" s="130">
        <v>0.002</v>
      </c>
      <c r="K173" s="131">
        <f t="shared" si="5"/>
        <v>0.0061</v>
      </c>
      <c r="L173" s="174">
        <v>0.0167</v>
      </c>
      <c r="Q173" s="121">
        <v>42430</v>
      </c>
      <c r="R173" s="139">
        <v>0.029699999999999997</v>
      </c>
      <c r="V173" s="121">
        <v>42430</v>
      </c>
      <c r="W173" s="190">
        <v>0.5042</v>
      </c>
    </row>
    <row r="174" spans="1:23" ht="15.75">
      <c r="A174" s="121">
        <v>42461</v>
      </c>
      <c r="B174" s="123">
        <v>3.9311</v>
      </c>
      <c r="C174" s="123">
        <v>4.3068</v>
      </c>
      <c r="D174" s="123">
        <v>3.7985</v>
      </c>
      <c r="H174" s="121">
        <v>42461</v>
      </c>
      <c r="I174" s="132">
        <v>-0.0074</v>
      </c>
      <c r="J174" s="130">
        <f t="shared" si="3"/>
        <v>0.002</v>
      </c>
      <c r="K174" s="131">
        <f t="shared" si="5"/>
        <v>0.0061</v>
      </c>
      <c r="L174" s="174">
        <v>0.0167</v>
      </c>
      <c r="Q174" s="121">
        <v>42461</v>
      </c>
      <c r="R174" s="139">
        <v>0.030699999999999998</v>
      </c>
      <c r="V174" s="121">
        <v>42461</v>
      </c>
      <c r="W174" s="190">
        <v>0.5027</v>
      </c>
    </row>
    <row r="175" spans="1:23" ht="15.75">
      <c r="A175" s="121">
        <v>42491</v>
      </c>
      <c r="B175" s="129">
        <v>3.9874</v>
      </c>
      <c r="C175" s="129">
        <v>4.4076</v>
      </c>
      <c r="D175" s="123">
        <v>3.8991</v>
      </c>
      <c r="H175" s="121">
        <v>42491</v>
      </c>
      <c r="I175" s="132">
        <v>-0.0074</v>
      </c>
      <c r="J175" s="130">
        <f t="shared" si="3"/>
        <v>0.002</v>
      </c>
      <c r="K175" s="131">
        <f t="shared" si="5"/>
        <v>0.0061</v>
      </c>
      <c r="L175" s="174">
        <v>0.0167</v>
      </c>
      <c r="Q175" s="121">
        <v>42491</v>
      </c>
      <c r="R175" s="139">
        <v>0.029699999999999997</v>
      </c>
      <c r="V175" s="121">
        <v>42491</v>
      </c>
      <c r="W175" s="190">
        <v>0.4982</v>
      </c>
    </row>
    <row r="176" spans="1:23" ht="15.75">
      <c r="A176" s="121">
        <v>42522</v>
      </c>
      <c r="B176" s="129">
        <v>4.0374</v>
      </c>
      <c r="C176" s="129">
        <v>4.4019</v>
      </c>
      <c r="D176" s="123">
        <v>3.92</v>
      </c>
      <c r="H176" s="121">
        <v>42522</v>
      </c>
      <c r="I176" s="132">
        <v>-0.0074</v>
      </c>
      <c r="J176" s="130">
        <f t="shared" si="3"/>
        <v>0.002</v>
      </c>
      <c r="K176" s="131">
        <f t="shared" si="5"/>
        <v>0.0061</v>
      </c>
      <c r="L176" s="174">
        <v>0.0169</v>
      </c>
      <c r="Q176" s="121">
        <v>42522</v>
      </c>
      <c r="R176" s="139">
        <v>0.0291</v>
      </c>
      <c r="V176" s="121">
        <v>42522</v>
      </c>
      <c r="W176" s="190">
        <v>0.4967</v>
      </c>
    </row>
    <row r="177" spans="1:23" ht="15.75">
      <c r="A177" s="121">
        <v>42552</v>
      </c>
      <c r="B177" s="129">
        <v>4.0465</v>
      </c>
      <c r="C177" s="129">
        <v>4.3966</v>
      </c>
      <c r="D177" s="123">
        <v>3.9707</v>
      </c>
      <c r="H177" s="121">
        <v>42552</v>
      </c>
      <c r="I177" s="132">
        <v>-0.0074</v>
      </c>
      <c r="J177" s="130">
        <v>-0.002</v>
      </c>
      <c r="K177" s="131">
        <f t="shared" si="5"/>
        <v>0.0061</v>
      </c>
      <c r="L177" s="174">
        <v>0.0171</v>
      </c>
      <c r="Q177" s="121">
        <v>42552</v>
      </c>
      <c r="R177" s="139">
        <v>0.028599999999999997</v>
      </c>
      <c r="V177" s="121">
        <v>42552</v>
      </c>
      <c r="W177" s="190">
        <v>0.4937</v>
      </c>
    </row>
    <row r="178" spans="1:23" ht="15.75">
      <c r="A178" s="121">
        <v>42583</v>
      </c>
      <c r="B178" s="129">
        <v>3.9549</v>
      </c>
      <c r="C178" s="129">
        <v>4.3003</v>
      </c>
      <c r="D178" s="123">
        <v>3.8354</v>
      </c>
      <c r="H178" s="121">
        <v>42583</v>
      </c>
      <c r="I178" s="132">
        <v>-0.0074</v>
      </c>
      <c r="J178" s="130">
        <v>-0.003</v>
      </c>
      <c r="K178" s="131">
        <v>0.0076</v>
      </c>
      <c r="L178" s="174">
        <v>0.0171</v>
      </c>
      <c r="Q178" s="121">
        <v>42583</v>
      </c>
      <c r="R178" s="139">
        <v>0.028300000000000002</v>
      </c>
      <c r="V178" s="121">
        <v>42583</v>
      </c>
      <c r="W178" s="190">
        <v>0.4982</v>
      </c>
    </row>
    <row r="179" spans="1:23" ht="15.75">
      <c r="A179" s="121">
        <v>42614</v>
      </c>
      <c r="B179" s="129">
        <v>3.9586</v>
      </c>
      <c r="C179" s="129">
        <v>4.325</v>
      </c>
      <c r="D179" s="123">
        <v>3.8567</v>
      </c>
      <c r="H179" s="121">
        <v>42614</v>
      </c>
      <c r="I179" s="132">
        <v>-0.0074</v>
      </c>
      <c r="J179" s="130">
        <f t="shared" si="3"/>
        <v>-0.003</v>
      </c>
      <c r="K179" s="131">
        <f t="shared" si="5"/>
        <v>0.0076</v>
      </c>
      <c r="L179" s="174">
        <v>0.0171</v>
      </c>
      <c r="Q179" s="121">
        <v>42614</v>
      </c>
      <c r="R179" s="139">
        <v>0.028</v>
      </c>
      <c r="V179" s="121">
        <v>42614</v>
      </c>
      <c r="W179" s="190">
        <v>0.5012</v>
      </c>
    </row>
    <row r="180" spans="1:23" ht="15.75">
      <c r="A180" s="121">
        <v>42644</v>
      </c>
      <c r="B180" s="123">
        <v>3.9615</v>
      </c>
      <c r="C180" s="123">
        <v>4.3086</v>
      </c>
      <c r="D180" s="123">
        <v>3.9075</v>
      </c>
      <c r="H180" s="121">
        <v>42644</v>
      </c>
      <c r="I180" s="132">
        <v>-0.0074</v>
      </c>
      <c r="J180" s="130">
        <f t="shared" si="3"/>
        <v>-0.003</v>
      </c>
      <c r="K180" s="131">
        <v>0.0089</v>
      </c>
      <c r="L180" s="174">
        <v>0.0172</v>
      </c>
      <c r="Q180" s="121">
        <v>42644</v>
      </c>
      <c r="R180" s="139">
        <v>0.0284</v>
      </c>
      <c r="V180" s="121">
        <v>42644</v>
      </c>
      <c r="W180" s="190">
        <v>0.5012</v>
      </c>
    </row>
    <row r="181" spans="1:23" ht="15.75">
      <c r="A181" s="121">
        <v>42675</v>
      </c>
      <c r="B181" s="123">
        <v>4.0749</v>
      </c>
      <c r="C181" s="123">
        <v>4.3839</v>
      </c>
      <c r="D181" s="123">
        <v>4.06</v>
      </c>
      <c r="H181" s="121">
        <v>42675</v>
      </c>
      <c r="I181" s="132">
        <v>-0.0074</v>
      </c>
      <c r="J181" s="130">
        <f t="shared" si="3"/>
        <v>-0.003</v>
      </c>
      <c r="K181" s="131">
        <f t="shared" si="5"/>
        <v>0.0089</v>
      </c>
      <c r="L181" s="174">
        <v>0.0173</v>
      </c>
      <c r="Q181" s="121">
        <v>42675</v>
      </c>
      <c r="R181" s="139">
        <v>0.027600000000000003</v>
      </c>
      <c r="V181" s="121">
        <v>42675</v>
      </c>
      <c r="W181" s="190">
        <v>0.4937</v>
      </c>
    </row>
    <row r="182" spans="1:23" ht="15.75">
      <c r="A182" s="121">
        <v>42705</v>
      </c>
      <c r="B182" s="123">
        <v>4.1256</v>
      </c>
      <c r="C182" s="123">
        <v>4.4371</v>
      </c>
      <c r="D182" s="123">
        <v>4.2049</v>
      </c>
      <c r="H182" s="121">
        <v>42705</v>
      </c>
      <c r="I182" s="132">
        <v>-0.0074</v>
      </c>
      <c r="J182" s="130">
        <f t="shared" si="3"/>
        <v>-0.003</v>
      </c>
      <c r="K182" s="131">
        <f t="shared" si="5"/>
        <v>0.0089</v>
      </c>
      <c r="L182" s="174">
        <v>0.0173</v>
      </c>
      <c r="Q182" s="121">
        <v>42705</v>
      </c>
      <c r="R182" s="139">
        <v>0.027899999999999998</v>
      </c>
      <c r="V182" s="121">
        <v>42705</v>
      </c>
      <c r="W182" s="190">
        <v>0.4922</v>
      </c>
    </row>
    <row r="183" spans="1:23" ht="15.75">
      <c r="A183" s="121">
        <v>42736</v>
      </c>
      <c r="B183" s="123">
        <v>4.0792</v>
      </c>
      <c r="C183" s="123">
        <v>4.3706</v>
      </c>
      <c r="D183" s="123">
        <v>4.1166</v>
      </c>
      <c r="H183" s="121">
        <v>42736</v>
      </c>
      <c r="I183" s="132">
        <v>-0.0074</v>
      </c>
      <c r="J183" s="130">
        <f t="shared" si="3"/>
        <v>-0.003</v>
      </c>
      <c r="K183" s="131">
        <f t="shared" si="5"/>
        <v>0.0089</v>
      </c>
      <c r="L183" s="174">
        <v>0.0173</v>
      </c>
      <c r="Q183" s="121">
        <v>42736</v>
      </c>
      <c r="R183" s="139">
        <v>0.027600000000000003</v>
      </c>
      <c r="V183" s="121">
        <v>42736</v>
      </c>
      <c r="W183" s="190">
        <v>0.4818</v>
      </c>
    </row>
    <row r="184" spans="1:23" ht="15.75">
      <c r="A184" s="121">
        <v>42767</v>
      </c>
      <c r="B184" s="123">
        <v>4.0424</v>
      </c>
      <c r="C184" s="123">
        <v>4.3097</v>
      </c>
      <c r="D184" s="123">
        <v>4.0487</v>
      </c>
      <c r="H184" s="121">
        <v>42767</v>
      </c>
      <c r="I184" s="132">
        <v>-0.0074</v>
      </c>
      <c r="J184" s="130">
        <f t="shared" si="3"/>
        <v>-0.003</v>
      </c>
      <c r="K184" s="131">
        <v>0.01</v>
      </c>
      <c r="L184" s="174">
        <v>0.0173</v>
      </c>
      <c r="Q184" s="121">
        <v>42767</v>
      </c>
      <c r="R184" s="139">
        <v>0.028399999999999998</v>
      </c>
      <c r="V184" s="121">
        <v>42767</v>
      </c>
      <c r="W184" s="190">
        <v>0.4759</v>
      </c>
    </row>
    <row r="185" spans="1:23" ht="15.75">
      <c r="A185" s="121">
        <v>42795</v>
      </c>
      <c r="B185" s="123">
        <v>4.0088</v>
      </c>
      <c r="C185" s="123">
        <v>4.2921</v>
      </c>
      <c r="D185" s="123">
        <v>4.0184</v>
      </c>
      <c r="H185" s="121">
        <v>42795</v>
      </c>
      <c r="I185" s="132">
        <v>-0.0074</v>
      </c>
      <c r="J185" s="130">
        <f t="shared" si="3"/>
        <v>-0.003</v>
      </c>
      <c r="K185" s="131">
        <f t="shared" si="5"/>
        <v>0.01</v>
      </c>
      <c r="L185" s="174">
        <v>0.0173</v>
      </c>
      <c r="Q185" s="121">
        <v>42795</v>
      </c>
      <c r="R185" s="139">
        <v>0.027600000000000003</v>
      </c>
      <c r="V185" s="121">
        <v>42795</v>
      </c>
      <c r="W185" s="190">
        <v>0.4715</v>
      </c>
    </row>
    <row r="186" spans="1:23" ht="15.75">
      <c r="A186" s="121">
        <v>42826</v>
      </c>
      <c r="B186" s="123">
        <v>3.9534</v>
      </c>
      <c r="C186" s="123">
        <v>4.2385</v>
      </c>
      <c r="D186" s="123">
        <v>3.9562</v>
      </c>
      <c r="H186" s="121">
        <v>42826</v>
      </c>
      <c r="I186" s="132">
        <v>-0.0074</v>
      </c>
      <c r="J186" s="130">
        <f t="shared" si="3"/>
        <v>-0.003</v>
      </c>
      <c r="K186" s="131">
        <v>0.0115</v>
      </c>
      <c r="L186" s="174">
        <v>0.0173</v>
      </c>
      <c r="Q186" s="121">
        <v>42826</v>
      </c>
      <c r="R186" s="139">
        <v>0.027399999999999997</v>
      </c>
      <c r="V186" s="121">
        <v>42826</v>
      </c>
      <c r="W186" s="190">
        <v>0.473</v>
      </c>
    </row>
    <row r="187" spans="1:23" ht="15.75">
      <c r="A187" s="121">
        <v>42856</v>
      </c>
      <c r="B187" s="123">
        <v>3.858</v>
      </c>
      <c r="C187" s="123">
        <v>4.204</v>
      </c>
      <c r="D187" s="123">
        <v>3.807</v>
      </c>
      <c r="H187" s="121">
        <v>42856</v>
      </c>
      <c r="I187" s="132">
        <v>-0.0074</v>
      </c>
      <c r="J187" s="130">
        <f t="shared" si="3"/>
        <v>-0.003</v>
      </c>
      <c r="K187" s="131">
        <f t="shared" si="5"/>
        <v>0.0115</v>
      </c>
      <c r="L187" s="174">
        <v>0.0173</v>
      </c>
      <c r="Q187" s="121">
        <v>42856</v>
      </c>
      <c r="R187" s="139">
        <v>0.027800000000000002</v>
      </c>
      <c r="V187" s="121">
        <v>42856</v>
      </c>
      <c r="W187" s="190">
        <v>0.4686</v>
      </c>
    </row>
    <row r="188" spans="1:23" ht="15.75">
      <c r="A188" s="121">
        <v>42887</v>
      </c>
      <c r="B188" s="123">
        <v>3.8708</v>
      </c>
      <c r="C188" s="123">
        <v>4.2083</v>
      </c>
      <c r="D188" s="123">
        <v>3.7504</v>
      </c>
      <c r="H188" s="121">
        <v>42887</v>
      </c>
      <c r="I188" s="132">
        <v>-0.0074</v>
      </c>
      <c r="J188" s="130">
        <f t="shared" si="3"/>
        <v>-0.003</v>
      </c>
      <c r="K188" s="131">
        <f t="shared" si="5"/>
        <v>0.0115</v>
      </c>
      <c r="L188" s="174">
        <v>0.0173</v>
      </c>
      <c r="Q188" s="121">
        <v>42887</v>
      </c>
      <c r="R188" s="139">
        <v>0.027</v>
      </c>
      <c r="V188" s="121">
        <v>42887</v>
      </c>
      <c r="W188" s="190">
        <v>0.4686</v>
      </c>
    </row>
    <row r="189" spans="1:23" ht="15.75">
      <c r="A189" s="121">
        <v>42917</v>
      </c>
      <c r="B189" s="123">
        <v>3.8291</v>
      </c>
      <c r="C189" s="123">
        <v>4.2361</v>
      </c>
      <c r="D189" s="123">
        <v>3.6805</v>
      </c>
      <c r="H189" s="121">
        <v>42917</v>
      </c>
      <c r="I189" s="132">
        <v>-0.0074</v>
      </c>
      <c r="J189" s="130">
        <f t="shared" si="3"/>
        <v>-0.003</v>
      </c>
      <c r="K189" s="131">
        <v>0.013</v>
      </c>
      <c r="L189" s="174">
        <v>0.0173</v>
      </c>
      <c r="Q189" s="121">
        <v>42917</v>
      </c>
      <c r="R189" s="139">
        <v>0.026900000000000004</v>
      </c>
      <c r="V189" s="121">
        <v>42917</v>
      </c>
      <c r="W189" s="190">
        <v>0.4715</v>
      </c>
    </row>
    <row r="190" spans="1:23" ht="15.75">
      <c r="A190" s="121">
        <v>42948</v>
      </c>
      <c r="B190" s="123">
        <v>3.7471</v>
      </c>
      <c r="C190" s="123">
        <v>4.2665</v>
      </c>
      <c r="D190" s="123">
        <v>3.6127</v>
      </c>
      <c r="H190" s="121">
        <v>42948</v>
      </c>
      <c r="I190" s="132">
        <v>-0.0074</v>
      </c>
      <c r="J190" s="130">
        <f t="shared" si="3"/>
        <v>-0.003</v>
      </c>
      <c r="K190" s="131">
        <f t="shared" si="5"/>
        <v>0.013</v>
      </c>
      <c r="L190" s="174">
        <v>0.0173</v>
      </c>
      <c r="Q190" s="121">
        <v>42948</v>
      </c>
      <c r="R190" s="139">
        <v>0.027100000000000003</v>
      </c>
      <c r="V190" s="121">
        <v>42948</v>
      </c>
      <c r="W190" s="190">
        <v>0.4745</v>
      </c>
    </row>
    <row r="191" spans="1:23" ht="15.75">
      <c r="A191" s="121">
        <v>42979</v>
      </c>
      <c r="B191" s="123">
        <v>3.722</v>
      </c>
      <c r="C191" s="123">
        <v>4.2702</v>
      </c>
      <c r="D191" s="123">
        <v>3.5799</v>
      </c>
      <c r="H191" s="121">
        <v>42979</v>
      </c>
      <c r="I191" s="132">
        <v>-0.0074</v>
      </c>
      <c r="J191" s="130">
        <f t="shared" si="3"/>
        <v>-0.003</v>
      </c>
      <c r="K191" s="131">
        <f t="shared" si="5"/>
        <v>0.013</v>
      </c>
      <c r="L191" s="174">
        <v>0.0173</v>
      </c>
      <c r="Q191" s="121">
        <v>42979</v>
      </c>
      <c r="R191" s="139">
        <v>0.0277</v>
      </c>
      <c r="V191" s="121">
        <v>42979</v>
      </c>
      <c r="W191" s="190">
        <v>0.476</v>
      </c>
    </row>
    <row r="192" spans="1:23" ht="15.75">
      <c r="A192" s="121">
        <v>43009</v>
      </c>
      <c r="B192" s="123">
        <v>3.6968</v>
      </c>
      <c r="C192" s="123">
        <v>4.2668</v>
      </c>
      <c r="D192" s="123">
        <v>3.6303</v>
      </c>
      <c r="H192" s="121">
        <v>43009</v>
      </c>
      <c r="I192" s="132">
        <v>-0.0074</v>
      </c>
      <c r="J192" s="130">
        <f t="shared" si="3"/>
        <v>-0.003</v>
      </c>
      <c r="K192" s="131">
        <f t="shared" si="5"/>
        <v>0.013</v>
      </c>
      <c r="L192" s="174">
        <v>0.0173</v>
      </c>
      <c r="Q192" s="121">
        <v>43009</v>
      </c>
      <c r="R192" s="139">
        <v>0.027899999999999998</v>
      </c>
      <c r="V192" s="121">
        <v>43009</v>
      </c>
      <c r="W192" s="190">
        <v>0.4701</v>
      </c>
    </row>
    <row r="193" spans="1:23" ht="15.75">
      <c r="A193" s="121">
        <v>43040</v>
      </c>
      <c r="B193" s="123">
        <v>3.6328</v>
      </c>
      <c r="C193" s="123">
        <v>4.2293</v>
      </c>
      <c r="D193" s="123">
        <v>3.6031</v>
      </c>
      <c r="H193" s="121">
        <v>43040</v>
      </c>
      <c r="I193" s="132">
        <v>-0.0074</v>
      </c>
      <c r="J193" s="130">
        <f t="shared" si="3"/>
        <v>-0.003</v>
      </c>
      <c r="K193" s="131">
        <f t="shared" si="5"/>
        <v>0.013</v>
      </c>
      <c r="L193" s="174">
        <v>0.0173</v>
      </c>
      <c r="Q193" s="121">
        <v>43040</v>
      </c>
      <c r="R193" s="139">
        <v>0.027899999999999998</v>
      </c>
      <c r="V193" s="121">
        <v>43040</v>
      </c>
      <c r="W193" s="190">
        <v>0.4628</v>
      </c>
    </row>
    <row r="194" spans="1:23" ht="15.75">
      <c r="A194" s="121">
        <v>43070</v>
      </c>
      <c r="B194" s="123">
        <v>3.5938</v>
      </c>
      <c r="C194" s="123">
        <v>4.2016</v>
      </c>
      <c r="D194" s="123">
        <v>3.5482</v>
      </c>
      <c r="H194" s="121">
        <v>43070</v>
      </c>
      <c r="I194" s="132">
        <v>-0.0074</v>
      </c>
      <c r="J194" s="130">
        <f t="shared" si="3"/>
        <v>-0.003</v>
      </c>
      <c r="K194" s="131">
        <v>0.0148</v>
      </c>
      <c r="L194" s="174">
        <v>0.0172</v>
      </c>
      <c r="Q194" s="121">
        <v>43070</v>
      </c>
      <c r="R194" s="139">
        <v>0.0279</v>
      </c>
      <c r="V194" s="121">
        <v>43070</v>
      </c>
      <c r="W194" s="190">
        <v>0.4555</v>
      </c>
    </row>
    <row r="195" spans="1:23" ht="15.75">
      <c r="A195" s="121">
        <v>43101</v>
      </c>
      <c r="B195" s="123">
        <v>3.5511</v>
      </c>
      <c r="C195" s="123">
        <v>4.1636</v>
      </c>
      <c r="D195" s="123">
        <v>3.4141</v>
      </c>
      <c r="H195" s="121">
        <v>43101</v>
      </c>
      <c r="I195" s="132">
        <v>-0.0074</v>
      </c>
      <c r="J195" s="130">
        <f t="shared" si="3"/>
        <v>-0.003</v>
      </c>
      <c r="K195" s="131">
        <v>0.0169</v>
      </c>
      <c r="L195" s="174">
        <v>0.0172</v>
      </c>
      <c r="Q195" s="121">
        <v>43101</v>
      </c>
      <c r="R195" s="139">
        <v>0.0276</v>
      </c>
      <c r="V195" s="121">
        <v>43101</v>
      </c>
      <c r="W195" s="190">
        <v>0.4526</v>
      </c>
    </row>
    <row r="196" spans="1:23" ht="15.75">
      <c r="A196" s="121">
        <v>43132</v>
      </c>
      <c r="B196" s="123">
        <v>3.6115</v>
      </c>
      <c r="C196" s="123">
        <v>4.1683</v>
      </c>
      <c r="D196" s="123">
        <v>3.3701</v>
      </c>
      <c r="H196" s="121">
        <v>43132</v>
      </c>
      <c r="I196" s="132">
        <v>-0.0074</v>
      </c>
      <c r="J196" s="130">
        <f t="shared" si="3"/>
        <v>-0.003</v>
      </c>
      <c r="K196" s="131">
        <f t="shared" si="5"/>
        <v>0.0169</v>
      </c>
      <c r="L196" s="174">
        <v>0.0172</v>
      </c>
      <c r="Q196" s="121">
        <v>43132</v>
      </c>
      <c r="R196" s="139">
        <v>0.027999999999999997</v>
      </c>
      <c r="V196" s="121">
        <v>43132</v>
      </c>
      <c r="W196" s="190">
        <v>0.4482</v>
      </c>
    </row>
    <row r="197" spans="1:23" ht="15.75">
      <c r="A197" s="121">
        <v>43160</v>
      </c>
      <c r="B197" s="123">
        <v>3.6062</v>
      </c>
      <c r="C197" s="123">
        <v>4.2101</v>
      </c>
      <c r="D197" s="123">
        <v>3.4158</v>
      </c>
      <c r="H197" s="121">
        <v>43160</v>
      </c>
      <c r="I197" s="132">
        <v>-0.0074</v>
      </c>
      <c r="J197" s="130">
        <f t="shared" si="3"/>
        <v>-0.003</v>
      </c>
      <c r="K197" s="131">
        <v>0.0201</v>
      </c>
      <c r="L197" s="174">
        <v>0.0171</v>
      </c>
      <c r="Q197" s="121">
        <v>43160</v>
      </c>
      <c r="R197" s="139">
        <v>0.027</v>
      </c>
      <c r="V197" s="121">
        <v>43160</v>
      </c>
      <c r="W197" s="190">
        <v>0.4511</v>
      </c>
    </row>
    <row r="198" spans="1:23" ht="15.75">
      <c r="A198" s="121">
        <v>43191</v>
      </c>
      <c r="B198" s="123">
        <v>3.5305</v>
      </c>
      <c r="C198" s="123">
        <v>4.1948</v>
      </c>
      <c r="D198" s="123">
        <v>3.4188</v>
      </c>
      <c r="H198" s="121">
        <v>43191</v>
      </c>
      <c r="I198" s="132">
        <v>-0.0074</v>
      </c>
      <c r="J198" s="130">
        <f t="shared" si="3"/>
        <v>-0.003</v>
      </c>
      <c r="K198" s="131">
        <v>0.0231</v>
      </c>
      <c r="L198" s="174">
        <v>0.017</v>
      </c>
      <c r="Q198" s="121">
        <v>43191</v>
      </c>
      <c r="R198" s="139">
        <v>0.027499999999999997</v>
      </c>
      <c r="V198" s="121">
        <v>43191</v>
      </c>
      <c r="W198" s="190">
        <v>0.4526</v>
      </c>
    </row>
    <row r="199" spans="1:23" ht="15.75">
      <c r="A199" s="121">
        <v>43221</v>
      </c>
      <c r="B199" s="123">
        <v>3.6283</v>
      </c>
      <c r="C199" s="123">
        <v>4.282</v>
      </c>
      <c r="D199" s="123">
        <v>3.6183</v>
      </c>
      <c r="H199" s="121">
        <v>43221</v>
      </c>
      <c r="I199" s="132">
        <v>-0.0074</v>
      </c>
      <c r="J199" s="130">
        <f t="shared" si="3"/>
        <v>-0.003</v>
      </c>
      <c r="K199" s="131">
        <f t="shared" si="5"/>
        <v>0.0231</v>
      </c>
      <c r="L199" s="174">
        <v>0.017</v>
      </c>
      <c r="Q199" s="121">
        <v>43221</v>
      </c>
      <c r="R199" s="139">
        <v>0.0274</v>
      </c>
      <c r="V199" s="121">
        <v>43221</v>
      </c>
      <c r="W199" s="190">
        <v>0.4454</v>
      </c>
    </row>
    <row r="200" spans="1:23" ht="15.75">
      <c r="A200" s="121">
        <v>43252</v>
      </c>
      <c r="B200" s="123">
        <v>3.727</v>
      </c>
      <c r="C200" s="123">
        <v>4.3054</v>
      </c>
      <c r="D200" s="123">
        <v>3.6876</v>
      </c>
      <c r="H200" s="121">
        <v>43252</v>
      </c>
      <c r="I200" s="132">
        <v>-0.0074</v>
      </c>
      <c r="J200" s="130">
        <f t="shared" si="3"/>
        <v>-0.003</v>
      </c>
      <c r="K200" s="131">
        <f t="shared" si="5"/>
        <v>0.0231</v>
      </c>
      <c r="L200" s="174">
        <v>0.017</v>
      </c>
      <c r="Q200" s="121">
        <v>43252</v>
      </c>
      <c r="R200" s="139">
        <v>0.0274</v>
      </c>
      <c r="V200" s="121">
        <v>43252</v>
      </c>
      <c r="W200" s="190">
        <v>0.4425</v>
      </c>
    </row>
    <row r="201" spans="1:23" ht="15.75">
      <c r="A201" s="121">
        <v>43283</v>
      </c>
      <c r="B201" s="123">
        <v>3.7263</v>
      </c>
      <c r="C201" s="123">
        <v>4.3301</v>
      </c>
      <c r="D201" s="123">
        <v>3.7095</v>
      </c>
      <c r="H201" s="121">
        <v>43283</v>
      </c>
      <c r="I201" s="132">
        <v>-0.0074</v>
      </c>
      <c r="J201" s="130">
        <f t="shared" si="3"/>
        <v>-0.003</v>
      </c>
      <c r="K201" s="131">
        <f t="shared" si="5"/>
        <v>0.0231</v>
      </c>
      <c r="L201" s="174">
        <v>0.017</v>
      </c>
      <c r="Q201" s="121">
        <v>43283</v>
      </c>
      <c r="R201" s="139">
        <v>0.027499999999999997</v>
      </c>
      <c r="V201" s="121">
        <v>43283</v>
      </c>
      <c r="W201" s="190">
        <v>0.441</v>
      </c>
    </row>
    <row r="202" spans="1:23" ht="15.75">
      <c r="A202" s="121">
        <v>43315</v>
      </c>
      <c r="B202" s="123">
        <v>3.7566</v>
      </c>
      <c r="C202" s="123">
        <v>4.2873</v>
      </c>
      <c r="D202" s="123">
        <v>3.7175</v>
      </c>
      <c r="H202" s="121">
        <v>43315</v>
      </c>
      <c r="I202" s="132">
        <v>-0.0074</v>
      </c>
      <c r="J202" s="130">
        <f t="shared" si="3"/>
        <v>-0.003</v>
      </c>
      <c r="K202" s="131">
        <f t="shared" si="5"/>
        <v>0.0231</v>
      </c>
      <c r="L202" s="174">
        <v>0.017</v>
      </c>
      <c r="Q202" s="121">
        <v>43315</v>
      </c>
      <c r="R202" s="139">
        <v>0.027499999999999997</v>
      </c>
      <c r="V202" s="121">
        <v>43315</v>
      </c>
      <c r="W202" s="190">
        <v>0.4439</v>
      </c>
    </row>
    <row r="203" spans="1:23" ht="15.75">
      <c r="A203" s="121">
        <v>43347</v>
      </c>
      <c r="B203" s="123">
        <v>3.8086</v>
      </c>
      <c r="C203" s="123">
        <v>4.2992</v>
      </c>
      <c r="D203" s="123">
        <v>3.6837</v>
      </c>
      <c r="H203" s="121">
        <v>43347</v>
      </c>
      <c r="I203" s="132">
        <v>-0.0074</v>
      </c>
      <c r="J203" s="130">
        <f t="shared" si="3"/>
        <v>-0.003</v>
      </c>
      <c r="K203" s="131">
        <f t="shared" si="5"/>
        <v>0.0231</v>
      </c>
      <c r="L203" s="174">
        <v>0.0172</v>
      </c>
      <c r="Q203" s="121">
        <v>43347</v>
      </c>
      <c r="R203" s="139">
        <v>0.027700000000000002</v>
      </c>
      <c r="V203" s="121">
        <v>43347</v>
      </c>
      <c r="W203" s="190">
        <v>0.4439</v>
      </c>
    </row>
    <row r="204" spans="1:23" ht="15.75">
      <c r="A204" s="121">
        <v>43374</v>
      </c>
      <c r="B204" s="123">
        <v>3.7723</v>
      </c>
      <c r="C204" s="123">
        <v>4.306</v>
      </c>
      <c r="D204" s="123">
        <v>3.7495</v>
      </c>
      <c r="H204" s="121">
        <v>43374</v>
      </c>
      <c r="I204" s="132">
        <v>-0.0074</v>
      </c>
      <c r="J204" s="130">
        <f t="shared" si="3"/>
        <v>-0.003</v>
      </c>
      <c r="K204" s="131">
        <f t="shared" si="5"/>
        <v>0.0231</v>
      </c>
      <c r="L204" s="174">
        <v>0.0172</v>
      </c>
      <c r="Q204" s="121">
        <v>43374</v>
      </c>
      <c r="R204" s="139">
        <v>0.0279</v>
      </c>
      <c r="V204" s="121">
        <v>43374</v>
      </c>
      <c r="W204" s="190">
        <v>0.4411</v>
      </c>
    </row>
    <row r="205" spans="1:23" ht="15.75">
      <c r="A205" s="121">
        <v>43405</v>
      </c>
      <c r="B205" s="123">
        <v>3.7808</v>
      </c>
      <c r="C205" s="123">
        <v>4.3029</v>
      </c>
      <c r="D205" s="123">
        <v>3.7866</v>
      </c>
      <c r="H205" s="121">
        <v>43405</v>
      </c>
      <c r="I205" s="132">
        <v>-0.0074</v>
      </c>
      <c r="J205" s="130">
        <f t="shared" si="3"/>
        <v>-0.003</v>
      </c>
      <c r="K205" s="131">
        <v>0.0254</v>
      </c>
      <c r="L205" s="174">
        <v>0.0172</v>
      </c>
      <c r="Q205" s="121">
        <v>43405</v>
      </c>
      <c r="R205" s="139">
        <v>0.0279</v>
      </c>
      <c r="V205" s="121">
        <v>43405</v>
      </c>
      <c r="W205" s="190">
        <v>0.4353</v>
      </c>
    </row>
    <row r="206" spans="1:23" ht="15.75">
      <c r="A206" s="121">
        <v>43435</v>
      </c>
      <c r="B206" s="123">
        <v>3.7975</v>
      </c>
      <c r="C206" s="123">
        <v>4.2905</v>
      </c>
      <c r="D206" s="123">
        <v>3.7691</v>
      </c>
      <c r="H206" s="121">
        <v>43435</v>
      </c>
      <c r="I206" s="132">
        <v>-0.0074</v>
      </c>
      <c r="J206" s="130">
        <f t="shared" si="3"/>
        <v>-0.003</v>
      </c>
      <c r="K206" s="131">
        <v>0.0274</v>
      </c>
      <c r="L206" s="174">
        <v>0.0172</v>
      </c>
      <c r="Q206" s="121">
        <v>43435</v>
      </c>
      <c r="R206" s="139">
        <v>0.0276</v>
      </c>
      <c r="V206" s="121">
        <v>43435</v>
      </c>
      <c r="W206" s="190">
        <v>0.4353</v>
      </c>
    </row>
    <row r="207" spans="1:23" ht="15.75">
      <c r="A207" s="121">
        <v>43466</v>
      </c>
      <c r="B207" s="123">
        <v>3.8033</v>
      </c>
      <c r="C207" s="123">
        <v>4.2954</v>
      </c>
      <c r="D207" s="123">
        <v>3.7617</v>
      </c>
      <c r="H207" s="121">
        <v>43466</v>
      </c>
      <c r="I207" s="132">
        <v>-0.0074</v>
      </c>
      <c r="J207" s="130">
        <f t="shared" si="3"/>
        <v>-0.003</v>
      </c>
      <c r="K207" s="131">
        <f t="shared" si="5"/>
        <v>0.0274</v>
      </c>
      <c r="L207" s="174">
        <v>0.0172</v>
      </c>
      <c r="Q207" s="121">
        <v>43466</v>
      </c>
      <c r="R207" s="139">
        <v>0.027499999999999997</v>
      </c>
      <c r="V207" s="121">
        <v>43466</v>
      </c>
      <c r="W207" s="190">
        <v>0.4353</v>
      </c>
    </row>
    <row r="208" spans="1:23" ht="15.75">
      <c r="A208" s="121">
        <v>43497</v>
      </c>
      <c r="B208" s="123">
        <v>3.7975</v>
      </c>
      <c r="C208" s="123">
        <v>4.3157</v>
      </c>
      <c r="D208" s="123">
        <v>3.8023</v>
      </c>
      <c r="H208" s="121">
        <v>43497</v>
      </c>
      <c r="I208" s="132">
        <v>-0.0074</v>
      </c>
      <c r="J208" s="130">
        <f t="shared" si="3"/>
        <v>-0.003</v>
      </c>
      <c r="K208" s="131">
        <f t="shared" si="5"/>
        <v>0.0274</v>
      </c>
      <c r="L208" s="174">
        <v>0.0172</v>
      </c>
      <c r="Q208" s="121">
        <v>43497</v>
      </c>
      <c r="R208" s="139">
        <v>0.0276</v>
      </c>
      <c r="V208" s="121">
        <v>43497</v>
      </c>
      <c r="W208" s="190">
        <v>0.4382</v>
      </c>
    </row>
    <row r="209" spans="1:23" ht="15.75">
      <c r="A209" s="121">
        <v>43525</v>
      </c>
      <c r="B209" s="123">
        <v>3.8019</v>
      </c>
      <c r="C209" s="123">
        <v>4.2996</v>
      </c>
      <c r="D209" s="123">
        <v>3.8052</v>
      </c>
      <c r="H209" s="121">
        <v>43525</v>
      </c>
      <c r="I209" s="132">
        <v>-0.0074</v>
      </c>
      <c r="J209" s="130">
        <f t="shared" si="3"/>
        <v>-0.003</v>
      </c>
      <c r="K209" s="131">
        <v>0.0263</v>
      </c>
      <c r="L209" s="174">
        <v>0.0172</v>
      </c>
      <c r="Q209" s="121">
        <v>43525</v>
      </c>
      <c r="R209" s="139">
        <v>0.026799999999999997</v>
      </c>
      <c r="V209" s="121">
        <v>43525</v>
      </c>
      <c r="W209" s="190">
        <v>0.4325</v>
      </c>
    </row>
    <row r="210" spans="1:23" ht="15.75">
      <c r="A210" s="121">
        <v>43556</v>
      </c>
      <c r="B210" s="123">
        <v>3.786</v>
      </c>
      <c r="C210" s="123">
        <v>4.2874</v>
      </c>
      <c r="D210" s="123">
        <v>3.8145</v>
      </c>
      <c r="H210" s="121">
        <v>43556</v>
      </c>
      <c r="I210" s="132">
        <v>-0.0074</v>
      </c>
      <c r="J210" s="130">
        <f t="shared" si="3"/>
        <v>-0.003</v>
      </c>
      <c r="K210" s="131">
        <f t="shared" si="5"/>
        <v>0.0263</v>
      </c>
      <c r="L210" s="174">
        <v>0.0172</v>
      </c>
      <c r="Q210" s="121">
        <v>43556</v>
      </c>
      <c r="R210" s="139">
        <v>0.027000000000000003</v>
      </c>
      <c r="V210" s="121">
        <v>43556</v>
      </c>
      <c r="W210" s="190">
        <v>0.4282</v>
      </c>
    </row>
    <row r="211" spans="1:23" ht="15.75">
      <c r="A211" s="121">
        <v>43586</v>
      </c>
      <c r="B211" s="123">
        <v>3.7978</v>
      </c>
      <c r="C211" s="123">
        <v>4.2965</v>
      </c>
      <c r="D211" s="123">
        <v>3.8393</v>
      </c>
      <c r="H211" s="121">
        <v>43586</v>
      </c>
      <c r="I211" s="132">
        <v>-0.0074</v>
      </c>
      <c r="J211" s="130">
        <f t="shared" si="3"/>
        <v>-0.003</v>
      </c>
      <c r="K211" s="131">
        <f t="shared" si="5"/>
        <v>0.0263</v>
      </c>
      <c r="L211" s="174">
        <v>0.0172</v>
      </c>
      <c r="Q211" s="121">
        <v>43586</v>
      </c>
      <c r="R211" s="139">
        <v>0.0267</v>
      </c>
      <c r="V211" s="121">
        <v>43586</v>
      </c>
      <c r="W211" s="190">
        <v>0.4126</v>
      </c>
    </row>
    <row r="212" spans="1:23" ht="15.75">
      <c r="A212" s="121">
        <v>43617</v>
      </c>
      <c r="B212" s="123">
        <v>3.82</v>
      </c>
      <c r="C212" s="123">
        <v>4.266</v>
      </c>
      <c r="D212" s="123">
        <v>3.7811</v>
      </c>
      <c r="H212" s="121">
        <v>43617</v>
      </c>
      <c r="I212" s="132">
        <v>-0.0074</v>
      </c>
      <c r="J212" s="130">
        <f t="shared" si="3"/>
        <v>-0.003</v>
      </c>
      <c r="K212" s="131">
        <v>0.0252</v>
      </c>
      <c r="L212" s="174">
        <v>0.0172</v>
      </c>
      <c r="Q212" s="121">
        <v>43617</v>
      </c>
      <c r="R212" s="139">
        <v>0.026500000000000003</v>
      </c>
      <c r="V212" s="121">
        <v>43617</v>
      </c>
      <c r="W212" s="190">
        <v>0.4098</v>
      </c>
    </row>
    <row r="213" spans="1:23" ht="15.75">
      <c r="A213" s="121">
        <v>43647</v>
      </c>
      <c r="B213" s="123">
        <v>3.8442</v>
      </c>
      <c r="C213" s="123">
        <v>4.2598</v>
      </c>
      <c r="D213" s="123">
        <v>3.7959</v>
      </c>
      <c r="H213" s="121">
        <v>43647</v>
      </c>
      <c r="I213" s="132">
        <v>-0.0074</v>
      </c>
      <c r="J213" s="130">
        <f t="shared" si="3"/>
        <v>-0.003</v>
      </c>
      <c r="K213" s="131">
        <v>0.0232</v>
      </c>
      <c r="L213" s="174">
        <v>0.0172</v>
      </c>
      <c r="Q213" s="121">
        <v>43647</v>
      </c>
      <c r="R213" s="139">
        <v>0.0271</v>
      </c>
      <c r="V213" s="121">
        <v>43647</v>
      </c>
      <c r="W213" s="190">
        <v>0.4056</v>
      </c>
    </row>
    <row r="214" spans="1:23" ht="15.75">
      <c r="A214" s="121">
        <v>43678</v>
      </c>
      <c r="B214" s="123">
        <v>3.9844</v>
      </c>
      <c r="C214" s="123">
        <v>4.3437</v>
      </c>
      <c r="D214" s="123">
        <v>3.9067</v>
      </c>
      <c r="H214" s="121">
        <v>43678</v>
      </c>
      <c r="I214" s="132">
        <v>-0.0074</v>
      </c>
      <c r="J214" s="130">
        <f t="shared" si="3"/>
        <v>-0.003</v>
      </c>
      <c r="K214" s="131">
        <v>0.0232</v>
      </c>
      <c r="L214" s="174">
        <v>0.0172</v>
      </c>
      <c r="Q214" s="121">
        <v>43678</v>
      </c>
      <c r="R214" s="139">
        <v>0.026799999999999997</v>
      </c>
      <c r="V214" s="121">
        <v>43678</v>
      </c>
      <c r="W214" s="190">
        <v>0.4056</v>
      </c>
    </row>
    <row r="215" spans="1:23" ht="15.75">
      <c r="A215" s="121">
        <v>43709</v>
      </c>
      <c r="B215" s="123">
        <v>3.9919</v>
      </c>
      <c r="C215" s="123">
        <v>4.3547</v>
      </c>
      <c r="D215" s="123">
        <v>3.9535</v>
      </c>
      <c r="H215" s="121">
        <v>43709</v>
      </c>
      <c r="I215" s="132">
        <v>-0.0086</v>
      </c>
      <c r="J215" s="130">
        <v>-0.0043</v>
      </c>
      <c r="K215" s="131">
        <v>0.0213</v>
      </c>
      <c r="L215" s="174">
        <v>0.0172</v>
      </c>
      <c r="Q215" s="121">
        <v>43709</v>
      </c>
      <c r="R215" s="139">
        <v>0.027200000000000002</v>
      </c>
      <c r="V215" s="121">
        <v>43709</v>
      </c>
      <c r="W215" s="190">
        <v>0.4056</v>
      </c>
    </row>
    <row r="216" spans="1:23" ht="15.75">
      <c r="A216" s="121">
        <v>43739</v>
      </c>
      <c r="B216" s="123">
        <v>3.918</v>
      </c>
      <c r="C216" s="123">
        <v>4.3025</v>
      </c>
      <c r="D216" s="123">
        <v>3.8935</v>
      </c>
      <c r="H216" s="121">
        <v>43739</v>
      </c>
      <c r="I216" s="132">
        <f>I215</f>
        <v>-0.0086</v>
      </c>
      <c r="J216" s="130">
        <f t="shared" si="3"/>
        <v>-0.0043</v>
      </c>
      <c r="K216" s="131">
        <f t="shared" si="5"/>
        <v>0.0213</v>
      </c>
      <c r="L216" s="174">
        <v>0.0172</v>
      </c>
      <c r="Q216" s="121">
        <v>43739</v>
      </c>
      <c r="R216" s="139">
        <v>0.0274</v>
      </c>
      <c r="V216" s="121">
        <v>43739</v>
      </c>
      <c r="W216" s="190">
        <v>0.4056</v>
      </c>
    </row>
    <row r="217" spans="1:23" ht="15.75">
      <c r="A217" s="121">
        <v>43770</v>
      </c>
      <c r="B217" s="123">
        <v>3.902</v>
      </c>
      <c r="C217" s="123">
        <v>4.2843</v>
      </c>
      <c r="D217" s="123">
        <v>3.8745</v>
      </c>
      <c r="H217" s="121">
        <v>43770</v>
      </c>
      <c r="I217" s="132">
        <v>-0.0076</v>
      </c>
      <c r="J217" s="130">
        <f t="shared" si="3"/>
        <v>-0.0043</v>
      </c>
      <c r="K217" s="131">
        <v>0.0191</v>
      </c>
      <c r="L217" s="174">
        <v>0.0171</v>
      </c>
      <c r="Q217" s="121">
        <v>43770</v>
      </c>
      <c r="R217" s="139">
        <v>0.0273</v>
      </c>
      <c r="V217" s="121">
        <v>43770</v>
      </c>
      <c r="W217" s="190">
        <v>0.4028</v>
      </c>
    </row>
    <row r="218" spans="1:23" ht="15.75">
      <c r="A218" s="121">
        <v>43800</v>
      </c>
      <c r="B218" s="123">
        <v>3.9087</v>
      </c>
      <c r="C218" s="123">
        <v>4.2721</v>
      </c>
      <c r="D218" s="123">
        <v>3.8443</v>
      </c>
      <c r="H218" s="121">
        <v>43800</v>
      </c>
      <c r="I218" s="132">
        <f>I217</f>
        <v>-0.0076</v>
      </c>
      <c r="J218" s="130">
        <f t="shared" si="3"/>
        <v>-0.0043</v>
      </c>
      <c r="K218" s="131">
        <f t="shared" si="5"/>
        <v>0.0191</v>
      </c>
      <c r="L218" s="174">
        <v>0.017</v>
      </c>
      <c r="Q218" s="121">
        <v>43800</v>
      </c>
      <c r="R218" s="139">
        <v>0.0271</v>
      </c>
      <c r="V218" s="121">
        <v>43800</v>
      </c>
      <c r="W218" s="190">
        <v>0.4014</v>
      </c>
    </row>
    <row r="219" spans="1:23" ht="15.75">
      <c r="A219" s="121">
        <v>43831</v>
      </c>
      <c r="B219" s="123">
        <v>3.9451</v>
      </c>
      <c r="C219" s="123">
        <v>4.2504</v>
      </c>
      <c r="D219" s="123">
        <v>3.8287</v>
      </c>
      <c r="H219" s="121">
        <v>43831</v>
      </c>
      <c r="I219" s="132">
        <f>I218</f>
        <v>-0.0076</v>
      </c>
      <c r="J219" s="130">
        <f t="shared" si="3"/>
        <v>-0.0043</v>
      </c>
      <c r="K219" s="131">
        <f t="shared" si="5"/>
        <v>0.0191</v>
      </c>
      <c r="L219" s="174">
        <v>0.0171</v>
      </c>
      <c r="Q219" s="121">
        <v>43831</v>
      </c>
      <c r="R219" s="139">
        <v>0.0273</v>
      </c>
      <c r="V219" s="121">
        <v>43831</v>
      </c>
      <c r="W219" s="190">
        <v>0.3903</v>
      </c>
    </row>
    <row r="220" spans="1:23" ht="15.75">
      <c r="A220" s="121">
        <v>43862</v>
      </c>
      <c r="B220" s="123">
        <v>4.0166</v>
      </c>
      <c r="C220" s="123">
        <v>4.2789</v>
      </c>
      <c r="D220" s="123">
        <v>3.9201</v>
      </c>
      <c r="H220" s="121">
        <v>43862</v>
      </c>
      <c r="I220" s="132">
        <f>I219</f>
        <v>-0.0076</v>
      </c>
      <c r="J220" s="130">
        <f t="shared" si="3"/>
        <v>-0.0043</v>
      </c>
      <c r="K220" s="131">
        <v>0.0176</v>
      </c>
      <c r="L220" s="174">
        <v>0.0171</v>
      </c>
      <c r="Q220" s="121">
        <v>43862</v>
      </c>
      <c r="R220" s="139">
        <v>0.0273</v>
      </c>
      <c r="V220" s="121">
        <v>43862</v>
      </c>
      <c r="W220" s="190">
        <v>0.3779</v>
      </c>
    </row>
    <row r="221" spans="1:23" ht="15.75">
      <c r="A221" s="121">
        <v>43891</v>
      </c>
      <c r="B221" s="123">
        <v>4.1892</v>
      </c>
      <c r="C221" s="123">
        <v>4.4356</v>
      </c>
      <c r="D221" s="123">
        <v>4.0126</v>
      </c>
      <c r="H221" s="121">
        <v>43891</v>
      </c>
      <c r="I221" s="132">
        <f>I220</f>
        <v>-0.0076</v>
      </c>
      <c r="J221" s="130">
        <f t="shared" si="3"/>
        <v>-0.0043</v>
      </c>
      <c r="K221" s="131">
        <v>0.0158</v>
      </c>
      <c r="L221" s="174">
        <v>0.0145</v>
      </c>
      <c r="Q221" s="121">
        <v>43891</v>
      </c>
      <c r="R221" s="139">
        <v>0.0286</v>
      </c>
      <c r="V221" s="121">
        <v>43891</v>
      </c>
      <c r="W221" s="190">
        <v>0.3683</v>
      </c>
    </row>
    <row r="222" spans="1:23" ht="15.75">
      <c r="A222" s="121">
        <v>43922</v>
      </c>
      <c r="B222" s="123">
        <v>4.3107</v>
      </c>
      <c r="C222" s="123">
        <v>4.545</v>
      </c>
      <c r="D222" s="123">
        <v>4.1856</v>
      </c>
      <c r="H222" s="121">
        <v>43922</v>
      </c>
      <c r="I222" s="132">
        <v>-0.0066</v>
      </c>
      <c r="J222" s="130">
        <f t="shared" si="3"/>
        <v>-0.0043</v>
      </c>
      <c r="K222" s="131">
        <v>0.0143</v>
      </c>
      <c r="L222" s="174">
        <v>0.0083</v>
      </c>
      <c r="Q222" s="121">
        <v>43922</v>
      </c>
      <c r="R222" s="139">
        <v>0.0313</v>
      </c>
      <c r="V222" s="121">
        <v>43922</v>
      </c>
      <c r="W222" s="190">
        <v>0.3656</v>
      </c>
    </row>
    <row r="223" spans="1:23" ht="15.75">
      <c r="A223" s="121">
        <v>43952</v>
      </c>
      <c r="B223" s="123">
        <v>4.2838</v>
      </c>
      <c r="C223" s="123">
        <v>4.5291</v>
      </c>
      <c r="D223" s="123">
        <v>4.1569</v>
      </c>
      <c r="H223" s="121">
        <v>43952</v>
      </c>
      <c r="I223" s="132">
        <f>I222</f>
        <v>-0.0066</v>
      </c>
      <c r="J223" s="130">
        <v>-0.0026</v>
      </c>
      <c r="K223" s="131">
        <v>0.069</v>
      </c>
      <c r="L223" s="174">
        <v>0.0066</v>
      </c>
      <c r="Q223" s="121">
        <v>43952</v>
      </c>
      <c r="R223" s="139">
        <v>0.030399999999999996</v>
      </c>
      <c r="V223" s="121">
        <v>43952</v>
      </c>
      <c r="W223" s="190">
        <v>0.3669</v>
      </c>
    </row>
    <row r="224" spans="1:23" ht="15.75">
      <c r="A224" s="121">
        <v>43983</v>
      </c>
      <c r="B224" s="123">
        <v>4.1474</v>
      </c>
      <c r="C224" s="123">
        <v>4.445</v>
      </c>
      <c r="D224" s="123">
        <v>3.9453</v>
      </c>
      <c r="H224" s="121">
        <v>43983</v>
      </c>
      <c r="I224" s="132">
        <f>I223</f>
        <v>-0.0066</v>
      </c>
      <c r="J224" s="130">
        <f aca="true" t="shared" si="6" ref="J224:J239">J223</f>
        <v>-0.0026</v>
      </c>
      <c r="K224" s="131">
        <v>0.0035</v>
      </c>
      <c r="L224" s="174">
        <v>0.0027</v>
      </c>
      <c r="Q224" s="121">
        <v>43983</v>
      </c>
      <c r="R224" s="139">
        <v>0.030100000000000002</v>
      </c>
      <c r="V224" s="121">
        <v>43983</v>
      </c>
      <c r="W224" s="190">
        <v>0.3697</v>
      </c>
    </row>
    <row r="225" spans="1:23" ht="15.75">
      <c r="A225" s="121">
        <v>44013</v>
      </c>
      <c r="B225" s="123">
        <v>4.1611</v>
      </c>
      <c r="C225" s="123">
        <v>4.4528</v>
      </c>
      <c r="D225" s="123">
        <v>3.8943</v>
      </c>
      <c r="H225" s="121">
        <v>44013</v>
      </c>
      <c r="I225" s="132">
        <f>I224</f>
        <v>-0.0066</v>
      </c>
      <c r="J225" s="130">
        <v>-0.0041</v>
      </c>
      <c r="K225" s="131">
        <f t="shared" si="5"/>
        <v>0.0035</v>
      </c>
      <c r="L225" s="174">
        <v>0.0025</v>
      </c>
      <c r="Q225" s="121">
        <v>44013</v>
      </c>
      <c r="R225" s="139">
        <v>0.030000000000000002</v>
      </c>
      <c r="V225" s="121">
        <v>44013</v>
      </c>
      <c r="W225" s="190">
        <v>0.3615</v>
      </c>
    </row>
    <row r="226" spans="1:23" ht="15.75">
      <c r="A226" s="121">
        <v>44044</v>
      </c>
      <c r="B226" s="123">
        <v>4.0882</v>
      </c>
      <c r="C226" s="123">
        <v>4.4021</v>
      </c>
      <c r="D226" s="123">
        <v>3.719</v>
      </c>
      <c r="H226" s="121">
        <v>44044</v>
      </c>
      <c r="I226" s="132">
        <f>I225</f>
        <v>-0.0066</v>
      </c>
      <c r="J226" s="130">
        <f t="shared" si="6"/>
        <v>-0.0041</v>
      </c>
      <c r="K226" s="131">
        <v>0.0025</v>
      </c>
      <c r="L226" s="174">
        <v>0.0023</v>
      </c>
      <c r="Q226" s="121">
        <v>44044</v>
      </c>
      <c r="R226" s="139">
        <v>0.0283</v>
      </c>
      <c r="V226" s="121">
        <v>44044</v>
      </c>
      <c r="W226" s="190">
        <v>0.3642</v>
      </c>
    </row>
    <row r="227" spans="1:23" ht="15.75">
      <c r="A227" s="121">
        <v>44075</v>
      </c>
      <c r="B227" s="123">
        <v>4.1487</v>
      </c>
      <c r="C227" s="123">
        <v>4.474</v>
      </c>
      <c r="D227" s="123">
        <v>3.7926</v>
      </c>
      <c r="H227" s="121">
        <v>44075</v>
      </c>
      <c r="I227" s="132">
        <f>I226</f>
        <v>-0.0066</v>
      </c>
      <c r="J227" s="130">
        <f t="shared" si="6"/>
        <v>-0.0041</v>
      </c>
      <c r="K227" s="131">
        <f t="shared" si="5"/>
        <v>0.0025</v>
      </c>
      <c r="L227" s="174">
        <v>0.0023</v>
      </c>
      <c r="Q227" s="121">
        <v>44075</v>
      </c>
      <c r="R227" s="139">
        <v>0.0278</v>
      </c>
      <c r="V227" s="121">
        <v>44075</v>
      </c>
      <c r="W227" s="190">
        <v>0.3656</v>
      </c>
    </row>
    <row r="228" spans="1:23" ht="15.75">
      <c r="A228" s="121">
        <v>44105</v>
      </c>
      <c r="B228" s="123">
        <v>4.2282</v>
      </c>
      <c r="C228" s="123">
        <v>4.5411</v>
      </c>
      <c r="D228" s="123">
        <v>3.8605</v>
      </c>
      <c r="H228" s="121">
        <v>44105</v>
      </c>
      <c r="I228" s="132">
        <v>-0.0077</v>
      </c>
      <c r="J228" s="130">
        <f t="shared" si="6"/>
        <v>-0.0041</v>
      </c>
      <c r="K228" s="131">
        <f t="shared" si="5"/>
        <v>0.0025</v>
      </c>
      <c r="L228" s="174">
        <v>0.0022</v>
      </c>
      <c r="Q228" s="121">
        <v>44105</v>
      </c>
      <c r="R228" s="139">
        <v>0.0269</v>
      </c>
      <c r="V228" s="121">
        <v>44105</v>
      </c>
      <c r="W228" s="190">
        <v>0.3629</v>
      </c>
    </row>
    <row r="229" spans="1:23" ht="15.75">
      <c r="A229" s="121">
        <v>44136</v>
      </c>
      <c r="B229" s="123">
        <v>4.1783</v>
      </c>
      <c r="C229" s="123">
        <v>4.5023</v>
      </c>
      <c r="D229" s="123">
        <v>3.8035</v>
      </c>
      <c r="H229" s="121">
        <v>44136</v>
      </c>
      <c r="I229" s="132">
        <f aca="true" t="shared" si="7" ref="I229:K238">I228</f>
        <v>-0.0077</v>
      </c>
      <c r="J229" s="130">
        <v>-0.0052</v>
      </c>
      <c r="K229" s="131">
        <f t="shared" si="5"/>
        <v>0.0025</v>
      </c>
      <c r="L229" s="174">
        <v>0.0022</v>
      </c>
      <c r="Q229" s="121">
        <v>44136</v>
      </c>
      <c r="R229" s="139">
        <v>0.027</v>
      </c>
      <c r="V229" s="121">
        <v>44136</v>
      </c>
      <c r="W229" s="190">
        <v>0.3615</v>
      </c>
    </row>
    <row r="230" spans="1:23" ht="15.75">
      <c r="A230" s="121">
        <v>44166</v>
      </c>
      <c r="B230" s="123">
        <v>4.1383</v>
      </c>
      <c r="C230" s="123">
        <v>4.4766</v>
      </c>
      <c r="D230" s="123">
        <v>3.6778</v>
      </c>
      <c r="H230" s="121">
        <v>44166</v>
      </c>
      <c r="I230" s="132">
        <f t="shared" si="7"/>
        <v>-0.0077</v>
      </c>
      <c r="J230" s="130">
        <f t="shared" si="6"/>
        <v>-0.0052</v>
      </c>
      <c r="K230" s="131">
        <f aca="true" t="shared" si="8" ref="K230:K232">K229</f>
        <v>0.0025</v>
      </c>
      <c r="L230" s="174">
        <v>0.0021</v>
      </c>
      <c r="Q230" s="121">
        <v>44166</v>
      </c>
      <c r="R230" s="140">
        <v>0.0272</v>
      </c>
      <c r="V230" s="121">
        <v>44166</v>
      </c>
      <c r="W230" s="190">
        <v>0.3601</v>
      </c>
    </row>
    <row r="231" spans="1:23" ht="15.75">
      <c r="A231" s="121">
        <v>44197</v>
      </c>
      <c r="B231" s="123">
        <v>4.209</v>
      </c>
      <c r="C231" s="123">
        <v>4.5435</v>
      </c>
      <c r="D231" s="123">
        <v>3.7304</v>
      </c>
      <c r="H231" s="121">
        <v>44197</v>
      </c>
      <c r="I231" s="132">
        <f t="shared" si="7"/>
        <v>-0.0077</v>
      </c>
      <c r="J231" s="130">
        <f t="shared" si="6"/>
        <v>-0.0052</v>
      </c>
      <c r="K231" s="131">
        <f t="shared" si="8"/>
        <v>0.0025</v>
      </c>
      <c r="L231" s="174">
        <v>0.0021</v>
      </c>
      <c r="Q231" s="121"/>
      <c r="V231" s="121">
        <v>44197</v>
      </c>
      <c r="W231" s="190">
        <v>0.3588</v>
      </c>
    </row>
    <row r="232" spans="1:23" ht="15.75">
      <c r="A232" s="121">
        <v>44228</v>
      </c>
      <c r="B232" s="123">
        <v>4.1442</v>
      </c>
      <c r="C232" s="123">
        <v>4.4988</v>
      </c>
      <c r="D232" s="123">
        <v>3.7196</v>
      </c>
      <c r="H232" s="121">
        <v>44228</v>
      </c>
      <c r="I232" s="132">
        <f t="shared" si="7"/>
        <v>-0.0077</v>
      </c>
      <c r="J232" s="130">
        <f t="shared" si="6"/>
        <v>-0.0052</v>
      </c>
      <c r="K232" s="131">
        <f t="shared" si="8"/>
        <v>0.0025</v>
      </c>
      <c r="L232" s="174">
        <v>0.0021</v>
      </c>
      <c r="Q232" s="121"/>
      <c r="V232" s="121">
        <v>44228</v>
      </c>
      <c r="W232" s="190">
        <v>0.3413</v>
      </c>
    </row>
    <row r="233" spans="1:23" ht="15.75">
      <c r="A233" s="121">
        <v>44256</v>
      </c>
      <c r="B233" s="123">
        <v>4.1573</v>
      </c>
      <c r="C233" s="123">
        <v>4.6007</v>
      </c>
      <c r="D233" s="123">
        <v>3.8673</v>
      </c>
      <c r="H233" s="121">
        <v>44256</v>
      </c>
      <c r="I233" s="132">
        <f t="shared" si="7"/>
        <v>-0.0077</v>
      </c>
      <c r="J233" s="130">
        <f t="shared" si="6"/>
        <v>-0.0052</v>
      </c>
      <c r="K233" s="131">
        <f t="shared" si="7"/>
        <v>0.0025</v>
      </c>
      <c r="L233" s="174">
        <v>0.0021</v>
      </c>
      <c r="Q233" s="121"/>
      <c r="V233" s="121">
        <v>44256</v>
      </c>
      <c r="W233" s="190">
        <v>0.3347</v>
      </c>
    </row>
    <row r="234" spans="1:23" ht="15.75">
      <c r="A234" s="121">
        <v>44287</v>
      </c>
      <c r="B234" s="123">
        <v>4.1366</v>
      </c>
      <c r="C234" s="123">
        <v>4.5658</v>
      </c>
      <c r="D234" s="123">
        <v>3.8212</v>
      </c>
      <c r="H234" s="121">
        <v>44287</v>
      </c>
      <c r="I234" s="132">
        <f t="shared" si="7"/>
        <v>-0.0077</v>
      </c>
      <c r="J234" s="130">
        <f t="shared" si="6"/>
        <v>-0.0052</v>
      </c>
      <c r="K234" s="131">
        <f t="shared" si="7"/>
        <v>0.0025</v>
      </c>
      <c r="L234" s="174">
        <v>0.0021</v>
      </c>
      <c r="Q234" s="121"/>
      <c r="V234" s="121">
        <v>44287</v>
      </c>
      <c r="W234" s="190">
        <v>0.3215</v>
      </c>
    </row>
    <row r="235" spans="1:23" ht="15.75">
      <c r="A235" s="121">
        <v>44317</v>
      </c>
      <c r="B235" s="123">
        <v>4.1305</v>
      </c>
      <c r="C235" s="123">
        <v>4.5301</v>
      </c>
      <c r="D235" s="123">
        <v>3.7292</v>
      </c>
      <c r="H235" s="121">
        <v>44317</v>
      </c>
      <c r="I235" s="132">
        <f t="shared" si="7"/>
        <v>-0.0077</v>
      </c>
      <c r="J235" s="130">
        <f t="shared" si="6"/>
        <v>-0.0052</v>
      </c>
      <c r="K235" s="131">
        <f t="shared" si="7"/>
        <v>0.0025</v>
      </c>
      <c r="L235" s="174">
        <v>0.0021</v>
      </c>
      <c r="Q235" s="121"/>
      <c r="V235" s="121">
        <v>44317</v>
      </c>
      <c r="W235" s="190">
        <v>0.311</v>
      </c>
    </row>
    <row r="236" spans="1:23" ht="15.75">
      <c r="A236" s="121">
        <v>44348</v>
      </c>
      <c r="B236" s="123">
        <v>4.1152</v>
      </c>
      <c r="C236" s="123">
        <v>4.5015</v>
      </c>
      <c r="D236" s="123">
        <v>3.7375</v>
      </c>
      <c r="H236" s="121">
        <v>44348</v>
      </c>
      <c r="I236" s="132">
        <f aca="true" t="shared" si="9" ref="I236:I241">I235</f>
        <v>-0.0077</v>
      </c>
      <c r="J236" s="130">
        <f t="shared" si="6"/>
        <v>-0.0052</v>
      </c>
      <c r="K236" s="131">
        <v>0.0013</v>
      </c>
      <c r="L236" s="174">
        <v>0.0021</v>
      </c>
      <c r="Q236" s="121"/>
      <c r="V236" s="121">
        <v>44348</v>
      </c>
      <c r="W236" s="190">
        <v>0.307</v>
      </c>
    </row>
    <row r="237" spans="1:23" ht="15.75">
      <c r="A237" s="121">
        <v>44378</v>
      </c>
      <c r="B237" s="123">
        <v>4.2033</v>
      </c>
      <c r="C237" s="123">
        <v>4.563</v>
      </c>
      <c r="D237" s="123">
        <v>3.8592</v>
      </c>
      <c r="H237" s="121">
        <v>44378</v>
      </c>
      <c r="I237" s="132">
        <f t="shared" si="9"/>
        <v>-0.0077</v>
      </c>
      <c r="J237" s="130">
        <f t="shared" si="6"/>
        <v>-0.0052</v>
      </c>
      <c r="K237" s="131">
        <f t="shared" si="7"/>
        <v>0.0013</v>
      </c>
      <c r="L237" s="174">
        <v>0.0021</v>
      </c>
      <c r="Q237" s="121"/>
      <c r="V237" s="121">
        <v>44378</v>
      </c>
      <c r="W237" s="190">
        <v>0.3057</v>
      </c>
    </row>
    <row r="238" spans="1:23" ht="15.75">
      <c r="A238" s="121">
        <v>44409</v>
      </c>
      <c r="B238" s="123">
        <v>4.2465</v>
      </c>
      <c r="C238" s="123">
        <v>4.57</v>
      </c>
      <c r="D238" s="123">
        <v>3.8835</v>
      </c>
      <c r="H238" s="121">
        <v>44409</v>
      </c>
      <c r="I238" s="132">
        <f t="shared" si="9"/>
        <v>-0.0077</v>
      </c>
      <c r="J238" s="130">
        <f t="shared" si="6"/>
        <v>-0.0052</v>
      </c>
      <c r="K238" s="131">
        <f t="shared" si="7"/>
        <v>0.0013</v>
      </c>
      <c r="L238" s="174">
        <v>0.0021</v>
      </c>
      <c r="Q238" s="121"/>
      <c r="V238" s="121">
        <v>44409</v>
      </c>
      <c r="W238" s="190">
        <v>0.3005</v>
      </c>
    </row>
    <row r="239" spans="1:23" ht="15.75">
      <c r="A239" s="121">
        <v>44440</v>
      </c>
      <c r="B239" s="123">
        <v>4.2043</v>
      </c>
      <c r="C239" s="123">
        <v>4.5664</v>
      </c>
      <c r="D239" s="123">
        <v>3.8755</v>
      </c>
      <c r="H239" s="121">
        <v>44440</v>
      </c>
      <c r="I239" s="131">
        <f t="shared" si="9"/>
        <v>-0.0077</v>
      </c>
      <c r="J239" s="130">
        <f t="shared" si="6"/>
        <v>-0.0052</v>
      </c>
      <c r="K239" s="131">
        <f>K238</f>
        <v>0.0013</v>
      </c>
      <c r="L239" s="174">
        <v>0.0024</v>
      </c>
      <c r="Q239" s="121"/>
      <c r="V239" s="121">
        <v>44440</v>
      </c>
      <c r="W239" s="190">
        <v>0.2967</v>
      </c>
    </row>
    <row r="240" spans="1:23" ht="15.75">
      <c r="A240" s="121">
        <v>44470</v>
      </c>
      <c r="B240" s="171">
        <v>4.2895</v>
      </c>
      <c r="C240" s="171">
        <v>4.5952</v>
      </c>
      <c r="D240" s="171">
        <v>3.9607</v>
      </c>
      <c r="H240" s="121">
        <v>44470</v>
      </c>
      <c r="I240" s="142">
        <f t="shared" si="9"/>
        <v>-0.0077</v>
      </c>
      <c r="J240" s="142">
        <f>J239</f>
        <v>-0.0052</v>
      </c>
      <c r="K240" s="142">
        <f>K239</f>
        <v>0.0013</v>
      </c>
      <c r="L240" s="175">
        <v>0.0061</v>
      </c>
      <c r="V240" s="121">
        <v>44470</v>
      </c>
      <c r="W240" s="190">
        <v>0.2876</v>
      </c>
    </row>
    <row r="241" spans="1:23" ht="15.75">
      <c r="A241" s="121">
        <v>44501</v>
      </c>
      <c r="B241" s="171">
        <v>4.4221</v>
      </c>
      <c r="C241" s="171">
        <v>4.6508</v>
      </c>
      <c r="D241" s="171">
        <v>4.0755</v>
      </c>
      <c r="H241" s="121">
        <v>44501</v>
      </c>
      <c r="I241" s="142">
        <f t="shared" si="9"/>
        <v>-0.0077</v>
      </c>
      <c r="J241" s="142">
        <f>J240</f>
        <v>-0.0052</v>
      </c>
      <c r="K241" s="142">
        <f>K240</f>
        <v>0.0013</v>
      </c>
      <c r="L241" s="175">
        <v>0.0159</v>
      </c>
      <c r="V241" s="121">
        <v>44501</v>
      </c>
      <c r="W241" s="190">
        <v>0.2736</v>
      </c>
    </row>
    <row r="242" spans="1:23" ht="15.75">
      <c r="A242" s="121">
        <v>44531</v>
      </c>
      <c r="B242" s="173">
        <v>4.4354</v>
      </c>
      <c r="C242" s="173">
        <v>4.6163</v>
      </c>
      <c r="D242" s="173">
        <v>4.0834</v>
      </c>
      <c r="H242" s="121">
        <f>A242</f>
        <v>44531</v>
      </c>
      <c r="I242" s="142">
        <f aca="true" t="shared" si="10" ref="I242">I241</f>
        <v>-0.0077</v>
      </c>
      <c r="J242" s="142">
        <f>J241</f>
        <v>-0.0052</v>
      </c>
      <c r="K242" s="142">
        <f>K241</f>
        <v>0.0013</v>
      </c>
      <c r="L242" s="176">
        <v>0.0234</v>
      </c>
      <c r="V242" s="121">
        <v>44531</v>
      </c>
      <c r="W242" s="190">
        <v>0.261</v>
      </c>
    </row>
    <row r="243" spans="1:23" ht="15.75">
      <c r="A243" s="121">
        <v>44562</v>
      </c>
      <c r="B243" s="171">
        <v>4.3818</v>
      </c>
      <c r="C243" s="171">
        <v>4.5548</v>
      </c>
      <c r="D243" s="171">
        <v>4.0239</v>
      </c>
      <c r="H243" s="121">
        <f>A243</f>
        <v>44562</v>
      </c>
      <c r="I243" s="142">
        <f>I242</f>
        <v>-0.0077</v>
      </c>
      <c r="J243" s="142">
        <f>J242</f>
        <v>-0.0052</v>
      </c>
      <c r="K243" s="142">
        <f>K242</f>
        <v>0.0013</v>
      </c>
      <c r="L243" s="142">
        <v>0.0251</v>
      </c>
      <c r="M243" s="124" t="s">
        <v>95</v>
      </c>
      <c r="V243" s="121">
        <v>44562</v>
      </c>
      <c r="W243" s="190">
        <v>0.2498</v>
      </c>
    </row>
    <row r="244" spans="1:23" ht="15.75">
      <c r="A244" s="121">
        <v>44593</v>
      </c>
      <c r="B244" s="125">
        <v>4.3506</v>
      </c>
      <c r="C244" s="125">
        <v>4.5539</v>
      </c>
      <c r="D244" s="125">
        <v>4.0156</v>
      </c>
      <c r="H244" s="121">
        <f aca="true" t="shared" si="11" ref="H244:H245">A244</f>
        <v>44593</v>
      </c>
      <c r="I244" s="142">
        <f aca="true" t="shared" si="12" ref="I244:I248">I243</f>
        <v>-0.0077</v>
      </c>
      <c r="J244" s="142">
        <f aca="true" t="shared" si="13" ref="J244:J247">J243</f>
        <v>-0.0052</v>
      </c>
      <c r="K244" s="142">
        <v>0.0032</v>
      </c>
      <c r="L244" s="142">
        <v>0.03331</v>
      </c>
      <c r="V244" s="121">
        <v>44593</v>
      </c>
      <c r="W244" s="190">
        <v>0.2265</v>
      </c>
    </row>
    <row r="245" spans="1:23" ht="15.75">
      <c r="A245" s="121">
        <v>44621</v>
      </c>
      <c r="B245" s="125">
        <v>4.6498</v>
      </c>
      <c r="C245" s="125">
        <v>4.7603</v>
      </c>
      <c r="D245" s="125">
        <v>4.3207</v>
      </c>
      <c r="H245" s="121">
        <f t="shared" si="11"/>
        <v>44621</v>
      </c>
      <c r="I245" s="142">
        <f t="shared" si="12"/>
        <v>-0.0077</v>
      </c>
      <c r="J245" s="142">
        <f t="shared" si="13"/>
        <v>-0.0052</v>
      </c>
      <c r="K245" s="142">
        <v>0.00523</v>
      </c>
      <c r="L245" s="142">
        <v>0.042674</v>
      </c>
      <c r="V245" s="121">
        <v>44621</v>
      </c>
      <c r="W245" s="190">
        <v>0.2302</v>
      </c>
    </row>
    <row r="246" spans="1:23" ht="15.75">
      <c r="A246" s="121">
        <v>44652</v>
      </c>
      <c r="B246" s="171">
        <v>4.5475</v>
      </c>
      <c r="C246" s="171">
        <v>4.6465</v>
      </c>
      <c r="D246" s="171">
        <v>4.2899</v>
      </c>
      <c r="H246" s="121">
        <f aca="true" t="shared" si="14" ref="H246:H249">A246</f>
        <v>44652</v>
      </c>
      <c r="I246" s="142">
        <f t="shared" si="12"/>
        <v>-0.0077</v>
      </c>
      <c r="J246" s="142">
        <f t="shared" si="13"/>
        <v>-0.0052</v>
      </c>
      <c r="K246" s="142">
        <v>0.0096686</v>
      </c>
      <c r="L246" s="142">
        <v>0.054795</v>
      </c>
      <c r="V246" s="121">
        <v>44652</v>
      </c>
      <c r="W246" s="190">
        <v>0.1909</v>
      </c>
    </row>
    <row r="247" spans="1:23" ht="15.75">
      <c r="A247" s="121">
        <v>44682</v>
      </c>
      <c r="B247" s="171">
        <v>4.4948</v>
      </c>
      <c r="C247" s="171">
        <v>4.6503</v>
      </c>
      <c r="D247" s="171">
        <v>4.3987</v>
      </c>
      <c r="H247" s="121">
        <f t="shared" si="14"/>
        <v>44682</v>
      </c>
      <c r="I247" s="142">
        <f t="shared" si="12"/>
        <v>-0.0077</v>
      </c>
      <c r="J247" s="142">
        <f t="shared" si="13"/>
        <v>-0.0052</v>
      </c>
      <c r="K247" s="142">
        <v>0.01286</v>
      </c>
      <c r="L247" s="142">
        <v>0.0642</v>
      </c>
      <c r="V247" s="121">
        <v>44682</v>
      </c>
      <c r="W247" s="190">
        <v>0.1675</v>
      </c>
    </row>
    <row r="248" spans="1:23" ht="15.75">
      <c r="A248" s="121">
        <v>44713</v>
      </c>
      <c r="B248" s="171">
        <v>4.529</v>
      </c>
      <c r="C248" s="171">
        <v>4.6457</v>
      </c>
      <c r="D248" s="171">
        <v>4.3876</v>
      </c>
      <c r="H248" s="121">
        <f t="shared" si="14"/>
        <v>44713</v>
      </c>
      <c r="I248" s="142">
        <f t="shared" si="12"/>
        <v>-0.0077</v>
      </c>
      <c r="J248" s="142">
        <v>-0.00354</v>
      </c>
      <c r="K248" s="142">
        <v>0.0158043</v>
      </c>
      <c r="L248" s="142">
        <v>0.0685</v>
      </c>
      <c r="V248" s="121">
        <v>44713</v>
      </c>
      <c r="W248" s="190">
        <v>0.148</v>
      </c>
    </row>
    <row r="249" spans="1:23" ht="15.75">
      <c r="A249" s="121">
        <v>44743</v>
      </c>
      <c r="B249" s="171">
        <v>4.8337</v>
      </c>
      <c r="C249" s="171">
        <v>4.7712</v>
      </c>
      <c r="D249" s="171">
        <v>4.6831</v>
      </c>
      <c r="H249" s="121">
        <f t="shared" si="14"/>
        <v>44743</v>
      </c>
      <c r="I249" s="142">
        <f>I248</f>
        <v>-0.0077</v>
      </c>
      <c r="J249" s="142">
        <v>-0.00191</v>
      </c>
      <c r="K249" s="142">
        <v>0.0227714</v>
      </c>
      <c r="L249" s="142">
        <v>0.0705</v>
      </c>
      <c r="V249" s="121">
        <v>44743</v>
      </c>
      <c r="W249" s="190">
        <v>0.131</v>
      </c>
    </row>
    <row r="250" spans="1:23" ht="15.75">
      <c r="A250" s="218">
        <v>44774</v>
      </c>
      <c r="B250" s="219">
        <v>4.8714</v>
      </c>
      <c r="C250" s="219">
        <v>4.7216</v>
      </c>
      <c r="D250" s="219">
        <v>4.6578</v>
      </c>
      <c r="H250" s="121">
        <f aca="true" t="shared" si="15" ref="H250:H253">A250</f>
        <v>44774</v>
      </c>
      <c r="I250" s="142">
        <f aca="true" t="shared" si="16" ref="I250:I253">I249</f>
        <v>-0.0077</v>
      </c>
      <c r="J250" s="142">
        <v>0.00267</v>
      </c>
      <c r="K250" s="142">
        <v>0.0278</v>
      </c>
      <c r="L250" s="142">
        <f>L249</f>
        <v>0.0705</v>
      </c>
      <c r="V250" s="121">
        <v>44774</v>
      </c>
      <c r="W250" s="190">
        <v>0.1254</v>
      </c>
    </row>
    <row r="251" spans="1:23" ht="15.75">
      <c r="A251" s="121">
        <v>44805</v>
      </c>
      <c r="B251" s="123">
        <v>4.9137</v>
      </c>
      <c r="C251" s="123">
        <v>4.739</v>
      </c>
      <c r="D251" s="123">
        <v>4.7784</v>
      </c>
      <c r="H251" s="121">
        <f t="shared" si="15"/>
        <v>44805</v>
      </c>
      <c r="I251" s="142">
        <f t="shared" si="16"/>
        <v>-0.0077</v>
      </c>
      <c r="J251" s="142">
        <v>0.0062</v>
      </c>
      <c r="K251" s="142">
        <v>0.0308</v>
      </c>
      <c r="L251" s="142">
        <f aca="true" t="shared" si="17" ref="L251:L253">L250</f>
        <v>0.0705</v>
      </c>
      <c r="V251" s="121">
        <v>44805</v>
      </c>
      <c r="W251" s="190">
        <v>0.1165</v>
      </c>
    </row>
    <row r="252" spans="1:23" ht="15.75">
      <c r="A252" s="121">
        <v>44835</v>
      </c>
      <c r="B252" s="123">
        <v>4.917</v>
      </c>
      <c r="C252" s="123">
        <v>4.8088</v>
      </c>
      <c r="D252" s="123">
        <v>4.8939</v>
      </c>
      <c r="H252" s="121">
        <f t="shared" si="15"/>
        <v>44835</v>
      </c>
      <c r="I252" s="142">
        <f t="shared" si="16"/>
        <v>-0.0077</v>
      </c>
      <c r="J252" s="142">
        <v>0.0116</v>
      </c>
      <c r="K252" s="142">
        <v>0.0374</v>
      </c>
      <c r="L252" s="142">
        <v>0.0718</v>
      </c>
      <c r="V252" s="121">
        <v>44835</v>
      </c>
      <c r="W252" s="190">
        <v>0.0989</v>
      </c>
    </row>
    <row r="253" spans="1:23" ht="15.75">
      <c r="A253" s="121">
        <v>44866</v>
      </c>
      <c r="B253" s="123">
        <v>4.7704</v>
      </c>
      <c r="C253" s="123">
        <v>4.6977</v>
      </c>
      <c r="D253" s="123">
        <v>4.6226</v>
      </c>
      <c r="H253" s="121">
        <f t="shared" si="15"/>
        <v>44866</v>
      </c>
      <c r="I253" s="142">
        <f t="shared" si="16"/>
        <v>-0.0077</v>
      </c>
      <c r="J253" s="142">
        <f>J252</f>
        <v>0.0116</v>
      </c>
      <c r="K253" s="142">
        <f>K252</f>
        <v>0.0374</v>
      </c>
      <c r="L253" s="142">
        <f t="shared" si="17"/>
        <v>0.0718</v>
      </c>
      <c r="V253" s="121">
        <v>44866</v>
      </c>
      <c r="W253" s="190">
        <v>0.0795</v>
      </c>
    </row>
    <row r="254" spans="1:23" ht="15.75">
      <c r="A254" s="121">
        <v>44896</v>
      </c>
      <c r="B254" s="123">
        <v>4.7441</v>
      </c>
      <c r="C254" s="123">
        <v>4.6798</v>
      </c>
      <c r="D254" s="123">
        <v>4.4209</v>
      </c>
      <c r="H254" s="121">
        <f aca="true" t="shared" si="18" ref="H254">A254</f>
        <v>44896</v>
      </c>
      <c r="I254" s="142">
        <v>0.002798</v>
      </c>
      <c r="J254" s="142">
        <v>0.01984</v>
      </c>
      <c r="K254" s="142">
        <v>0.0476057</v>
      </c>
      <c r="L254" s="142">
        <v>0.0731</v>
      </c>
      <c r="V254" s="121">
        <v>44896</v>
      </c>
      <c r="W254" s="190">
        <v>0.072</v>
      </c>
    </row>
    <row r="255" spans="1:23" ht="15.75">
      <c r="A255" s="121">
        <v>44927</v>
      </c>
      <c r="B255" s="123">
        <v>4.717</v>
      </c>
      <c r="C255" s="123">
        <v>4.6968</v>
      </c>
      <c r="D255" s="123">
        <v>4.3571</v>
      </c>
      <c r="H255" s="121">
        <f aca="true" t="shared" si="19" ref="H255:H256">A255</f>
        <v>44927</v>
      </c>
      <c r="I255" s="142">
        <v>0.007026</v>
      </c>
      <c r="J255" s="142">
        <v>0.01984</v>
      </c>
      <c r="K255" s="142">
        <v>0.0476057</v>
      </c>
      <c r="L255" s="142">
        <v>0.0695</v>
      </c>
      <c r="V255" s="121">
        <v>44927</v>
      </c>
      <c r="W255" s="190">
        <v>0.0709</v>
      </c>
    </row>
    <row r="256" spans="1:23" ht="15.75">
      <c r="A256" s="121">
        <v>44958</v>
      </c>
      <c r="B256" s="123">
        <v>4.7867</v>
      </c>
      <c r="C256" s="123">
        <v>4.7427</v>
      </c>
      <c r="D256" s="123">
        <v>4.4264</v>
      </c>
      <c r="H256" s="121">
        <f t="shared" si="19"/>
        <v>44958</v>
      </c>
      <c r="I256" s="142">
        <v>0.008612</v>
      </c>
      <c r="J256" s="142">
        <v>0.027024</v>
      </c>
      <c r="K256" s="142">
        <v>0.0496243</v>
      </c>
      <c r="L256" s="142">
        <v>0.0694</v>
      </c>
      <c r="N256" s="120" t="s">
        <v>126</v>
      </c>
      <c r="O256" s="120" t="s">
        <v>127</v>
      </c>
      <c r="V256" s="121">
        <v>44958</v>
      </c>
      <c r="W256" s="190">
        <v>0.0448</v>
      </c>
    </row>
    <row r="257" spans="1:23" ht="15.75">
      <c r="A257" s="121">
        <v>44986</v>
      </c>
      <c r="B257" s="123">
        <v>4.7409</v>
      </c>
      <c r="C257" s="123">
        <v>4.6925</v>
      </c>
      <c r="D257" s="123">
        <v>4.3914</v>
      </c>
      <c r="H257" s="121">
        <f aca="true" t="shared" si="20" ref="H257:H258">A257</f>
        <v>44986</v>
      </c>
      <c r="I257" s="142">
        <v>0.009792</v>
      </c>
      <c r="J257" s="142">
        <v>0.030384</v>
      </c>
      <c r="K257" s="142">
        <v>0.0496243</v>
      </c>
      <c r="L257" s="142">
        <v>0.0694</v>
      </c>
      <c r="N257" s="191">
        <v>-0.000136</v>
      </c>
      <c r="O257" s="191">
        <v>3.1E-05</v>
      </c>
      <c r="V257" s="121">
        <v>44986</v>
      </c>
      <c r="W257" s="190">
        <v>0.0324</v>
      </c>
    </row>
    <row r="258" spans="1:23" ht="15.75">
      <c r="A258" s="121">
        <v>45017</v>
      </c>
      <c r="B258" s="123">
        <v>4.7102</v>
      </c>
      <c r="C258" s="123">
        <v>4.6414</v>
      </c>
      <c r="D258" s="123">
        <v>4.2333</v>
      </c>
      <c r="H258" s="121">
        <f t="shared" si="20"/>
        <v>45017</v>
      </c>
      <c r="I258" s="142">
        <v>0.009792</v>
      </c>
      <c r="J258" s="142">
        <v>0.030384</v>
      </c>
      <c r="K258" s="142">
        <v>0.0517657</v>
      </c>
      <c r="L258" s="142">
        <v>0.069</v>
      </c>
      <c r="N258" s="191"/>
      <c r="O258" s="191"/>
      <c r="V258" s="121">
        <f>H258</f>
        <v>45017</v>
      </c>
      <c r="W258" s="190">
        <v>0.0211</v>
      </c>
    </row>
    <row r="259" spans="1:23" ht="15.75">
      <c r="A259" s="121">
        <v>45047</v>
      </c>
      <c r="B259" s="123">
        <v>4.6549</v>
      </c>
      <c r="C259" s="123">
        <v>4.5411</v>
      </c>
      <c r="D259" s="123">
        <v>4.1791</v>
      </c>
      <c r="H259" s="121">
        <f aca="true" t="shared" si="21" ref="H259">A259</f>
        <v>45047</v>
      </c>
      <c r="I259" s="142">
        <f>1.1285%+O257</f>
        <v>0.011316</v>
      </c>
      <c r="J259" s="142">
        <f>3.25%+N257</f>
        <v>0.032364000000000004</v>
      </c>
      <c r="K259" s="142">
        <v>0.0529914</v>
      </c>
      <c r="L259" s="142">
        <v>0.068995</v>
      </c>
      <c r="V259" s="121">
        <f>H259</f>
        <v>45047</v>
      </c>
      <c r="W259" s="190">
        <v>0.014</v>
      </c>
    </row>
    <row r="260" spans="1:23" ht="15.75">
      <c r="A260" s="121">
        <v>45078</v>
      </c>
      <c r="B260" s="220">
        <v>4.5777</v>
      </c>
      <c r="C260" s="220">
        <v>4.4648</v>
      </c>
      <c r="D260" s="220">
        <v>4.1215</v>
      </c>
      <c r="H260" s="121">
        <f aca="true" t="shared" si="22" ref="H260:H270">A260</f>
        <v>45078</v>
      </c>
      <c r="I260" s="142">
        <f>1.2917%+O257</f>
        <v>0.012948000000000001</v>
      </c>
      <c r="J260" s="142">
        <f>3.474%+N257</f>
        <v>0.034604</v>
      </c>
      <c r="K260" s="142">
        <v>0.05496</v>
      </c>
      <c r="L260" s="142">
        <f>L259</f>
        <v>0.068995</v>
      </c>
      <c r="V260" s="121">
        <f aca="true" t="shared" si="23" ref="V260:V270">H260</f>
        <v>45078</v>
      </c>
      <c r="W260" s="190">
        <v>0.014</v>
      </c>
    </row>
    <row r="261" spans="1:23" ht="15.75">
      <c r="A261" s="121">
        <v>45108</v>
      </c>
      <c r="B261" s="220">
        <v>4.6007</v>
      </c>
      <c r="C261" s="220">
        <v>4.4455</v>
      </c>
      <c r="D261" s="220">
        <v>4.0273</v>
      </c>
      <c r="H261" s="121">
        <f t="shared" si="22"/>
        <v>45108</v>
      </c>
      <c r="I261" s="142">
        <f>1.4495%+O257</f>
        <v>0.014526</v>
      </c>
      <c r="J261" s="142">
        <f>3.587%+N257</f>
        <v>0.035734</v>
      </c>
      <c r="K261" s="142">
        <v>0.05496</v>
      </c>
      <c r="L261" s="142">
        <f>L260</f>
        <v>0.068995</v>
      </c>
      <c r="V261" s="121">
        <f t="shared" si="23"/>
        <v>45108</v>
      </c>
      <c r="W261" s="190">
        <v>0.014</v>
      </c>
    </row>
    <row r="262" spans="1:23" ht="15.75">
      <c r="A262" s="121">
        <v>45139</v>
      </c>
      <c r="B262" s="123">
        <v>4.6521</v>
      </c>
      <c r="C262" s="123">
        <v>4.4599</v>
      </c>
      <c r="D262" s="220">
        <v>4.0888</v>
      </c>
      <c r="H262" s="121">
        <f t="shared" si="22"/>
        <v>45139</v>
      </c>
      <c r="I262" s="142">
        <f>1.55%+O257</f>
        <v>0.015531</v>
      </c>
      <c r="J262" s="142">
        <f>3.725%+N257</f>
        <v>0.037114</v>
      </c>
      <c r="K262" s="142">
        <v>0.0563352</v>
      </c>
      <c r="L262" s="142">
        <v>0.0672</v>
      </c>
      <c r="V262" s="121">
        <f t="shared" si="23"/>
        <v>45139</v>
      </c>
      <c r="W262" s="190">
        <v>0.0161</v>
      </c>
    </row>
    <row r="263" spans="1:23" ht="15.75">
      <c r="A263" s="121">
        <v>45170</v>
      </c>
      <c r="B263" s="123">
        <v>4.7883</v>
      </c>
      <c r="C263" s="123">
        <v>4.594</v>
      </c>
      <c r="D263" s="123">
        <v>4.2974</v>
      </c>
      <c r="H263" s="121">
        <f t="shared" si="22"/>
        <v>45170</v>
      </c>
      <c r="I263" s="142">
        <f>1.65%+O257</f>
        <v>0.016531</v>
      </c>
      <c r="J263" s="142">
        <f>3.725%+N257</f>
        <v>0.037114</v>
      </c>
      <c r="K263" s="142">
        <f>K262</f>
        <v>0.0563352</v>
      </c>
      <c r="L263" s="142">
        <f>L262</f>
        <v>0.0672</v>
      </c>
      <c r="V263" s="121">
        <f t="shared" si="23"/>
        <v>45170</v>
      </c>
      <c r="W263" s="190">
        <v>0.0161</v>
      </c>
    </row>
    <row r="264" spans="1:23" ht="15.75">
      <c r="A264" s="121">
        <v>45200</v>
      </c>
      <c r="B264" s="123">
        <v>4.7307</v>
      </c>
      <c r="C264" s="123">
        <v>4.5186</v>
      </c>
      <c r="D264" s="123">
        <v>4.2758</v>
      </c>
      <c r="H264" s="121">
        <f t="shared" si="22"/>
        <v>45200</v>
      </c>
      <c r="I264" s="142">
        <f>1.71%+O257</f>
        <v>0.017131</v>
      </c>
      <c r="J264" s="221">
        <f>3.955%+N257</f>
        <v>0.039414000000000005</v>
      </c>
      <c r="K264" s="142">
        <f>K263</f>
        <v>0.0563352</v>
      </c>
      <c r="L264" s="142">
        <v>0.0578</v>
      </c>
      <c r="V264" s="121">
        <f t="shared" si="23"/>
        <v>45200</v>
      </c>
      <c r="W264" s="190">
        <v>0.0202</v>
      </c>
    </row>
    <row r="265" spans="1:23" ht="15.75">
      <c r="A265" s="121">
        <v>45231</v>
      </c>
      <c r="B265" s="123">
        <v>4.5707</v>
      </c>
      <c r="C265" s="123">
        <v>4.4033</v>
      </c>
      <c r="D265" s="123">
        <v>4.0787</v>
      </c>
      <c r="H265" s="121">
        <f t="shared" si="22"/>
        <v>45231</v>
      </c>
      <c r="I265" s="142">
        <f>1.71%+O257</f>
        <v>0.017131</v>
      </c>
      <c r="J265" s="142">
        <f>3.955%+N257</f>
        <v>0.039414000000000005</v>
      </c>
      <c r="K265" s="142">
        <f>K264</f>
        <v>0.0563352</v>
      </c>
      <c r="L265" s="142">
        <v>0.0565</v>
      </c>
      <c r="V265" s="121">
        <f t="shared" si="23"/>
        <v>45231</v>
      </c>
      <c r="W265" s="190">
        <v>0.0171</v>
      </c>
    </row>
    <row r="266" spans="1:23" ht="15.75">
      <c r="A266" s="121">
        <v>45261</v>
      </c>
      <c r="B266" s="123">
        <v>4.591</v>
      </c>
      <c r="C266" s="123">
        <v>4.3323</v>
      </c>
      <c r="D266" s="123">
        <v>3.9672</v>
      </c>
      <c r="H266" s="121">
        <f t="shared" si="22"/>
        <v>45261</v>
      </c>
      <c r="I266" s="142">
        <v>0.016454</v>
      </c>
      <c r="J266" s="142">
        <v>0.039414</v>
      </c>
      <c r="K266" s="142">
        <v>0.0563352</v>
      </c>
      <c r="L266" s="142">
        <v>0.0583</v>
      </c>
      <c r="V266" s="121">
        <f t="shared" si="23"/>
        <v>45261</v>
      </c>
      <c r="W266" s="190">
        <v>0.01</v>
      </c>
    </row>
    <row r="267" spans="1:23" ht="15.75">
      <c r="A267" s="121">
        <v>45292</v>
      </c>
      <c r="B267" s="123">
        <v>4.6621</v>
      </c>
      <c r="C267" s="123">
        <v>4.3652</v>
      </c>
      <c r="D267" s="123">
        <v>4.0011</v>
      </c>
      <c r="H267" s="121">
        <f t="shared" si="22"/>
        <v>45292</v>
      </c>
      <c r="I267" s="142">
        <v>0.016454</v>
      </c>
      <c r="J267" s="142">
        <v>0.039414</v>
      </c>
      <c r="K267" s="142">
        <v>0.0563352</v>
      </c>
      <c r="L267" s="142">
        <v>0.0583</v>
      </c>
      <c r="V267" s="121">
        <f t="shared" si="23"/>
        <v>45292</v>
      </c>
      <c r="W267" s="190">
        <v>0.009</v>
      </c>
    </row>
    <row r="268" spans="1:23" ht="15.75">
      <c r="A268" s="121">
        <v>45323</v>
      </c>
      <c r="B268" s="125">
        <v>4.5766</v>
      </c>
      <c r="C268" s="125">
        <v>4.3274</v>
      </c>
      <c r="D268" s="125">
        <v>4.0083</v>
      </c>
      <c r="H268" s="121">
        <f t="shared" si="22"/>
        <v>45323</v>
      </c>
      <c r="I268" s="142">
        <v>0.016454</v>
      </c>
      <c r="J268" s="142">
        <v>0.039414</v>
      </c>
      <c r="K268" s="142">
        <v>0.0563352</v>
      </c>
      <c r="L268" s="142">
        <v>0.0583</v>
      </c>
      <c r="V268" s="121">
        <f t="shared" si="23"/>
        <v>45323</v>
      </c>
      <c r="W268" s="190">
        <v>0.005</v>
      </c>
    </row>
    <row r="269" spans="1:23" ht="15.75">
      <c r="A269" s="121">
        <v>45352</v>
      </c>
      <c r="B269" s="125">
        <v>4.4621</v>
      </c>
      <c r="C269" s="125">
        <v>4.3074</v>
      </c>
      <c r="D269" s="125">
        <v>3.9658</v>
      </c>
      <c r="H269" s="121">
        <f t="shared" si="22"/>
        <v>45352</v>
      </c>
      <c r="I269" s="142">
        <v>0.016454</v>
      </c>
      <c r="J269" s="142">
        <v>0.039414</v>
      </c>
      <c r="K269" s="142">
        <v>0.0563352</v>
      </c>
      <c r="L269" s="142">
        <v>0.0583</v>
      </c>
      <c r="V269" s="121">
        <f t="shared" si="23"/>
        <v>45352</v>
      </c>
      <c r="W269" s="190">
        <v>0.002</v>
      </c>
    </row>
    <row r="270" spans="1:23" ht="15.75">
      <c r="A270" s="121">
        <v>45383</v>
      </c>
      <c r="B270" s="125">
        <v>4.4106</v>
      </c>
      <c r="C270" s="125">
        <v>4.3026</v>
      </c>
      <c r="D270" s="125">
        <v>4.0106</v>
      </c>
      <c r="H270" s="121">
        <f t="shared" si="22"/>
        <v>45383</v>
      </c>
      <c r="I270" s="142">
        <v>0.016454</v>
      </c>
      <c r="J270" s="142">
        <v>0.039414</v>
      </c>
      <c r="K270" s="142">
        <v>0.0563352</v>
      </c>
      <c r="L270" s="142">
        <v>0.0583</v>
      </c>
      <c r="V270" s="121">
        <f t="shared" si="23"/>
        <v>45383</v>
      </c>
      <c r="W270" s="190">
        <v>0</v>
      </c>
    </row>
  </sheetData>
  <hyperlinks>
    <hyperlink ref="R2" r:id="rId1" display="https://www.knf.gov.pl/dla_rynku/sad_polubowny_przy_KNF/mediacja/marza?articleId=72862&amp;p_id=18"/>
    <hyperlink ref="M8" r:id="rId2" display="https://www.mbank.pl/indywidualny/kredyty/kredyty-hipoteczne/mam-kredyt-hipoteczny/#wibor"/>
    <hyperlink ref="W2" r:id="rId3" display="https://stat.gov.pl/obszary-tematyczne/ceny-handel/wskazniki-cen/wskazniki-cen-towarow-i-uslug-konsumpcyjnych-pot-inflacja-/miesieczne-wskazniki-cen-towarow-i-uslug-konsumpcyjnych-od-1982-rok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 Czabanski</cp:lastModifiedBy>
  <dcterms:created xsi:type="dcterms:W3CDTF">2015-02-25T19:10:48Z</dcterms:created>
  <dcterms:modified xsi:type="dcterms:W3CDTF">2024-05-02T12:36:22Z</dcterms:modified>
  <cp:category/>
  <cp:version/>
  <cp:contentType/>
  <cp:contentStatus/>
</cp:coreProperties>
</file>