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4"/>
  <workbookPr codeName="ThisWorkbook"/>
  <bookViews>
    <workbookView xWindow="1900" yWindow="860" windowWidth="32140" windowHeight="24940" tabRatio="500" activeTab="0"/>
  </bookViews>
  <sheets>
    <sheet name="Podsumowanie" sheetId="6" r:id="rId1"/>
    <sheet name="KALKULATOR" sheetId="1" r:id="rId2"/>
    <sheet name="Wykres rat" sheetId="8" r:id="rId3"/>
    <sheet name="Dane" sheetId="7" r:id="rId4"/>
  </sheets>
  <definedNames>
    <definedName name="Inflacja">'Dane'!$V$3:$W$255</definedName>
    <definedName name="kursNBP">#REF!</definedName>
    <definedName name="Kursy">'Dane'!$A$2:$D$289</definedName>
    <definedName name="Marza">'Dane'!$Q$3:$R$230</definedName>
    <definedName name="Oproc">'Dane'!$H$2:$L$299</definedName>
    <definedName name="waluta">'Dane'!$N$1:$O$4</definedName>
  </definedNames>
  <calcPr calcId="191029"/>
  <extLst/>
</workbook>
</file>

<file path=xl/sharedStrings.xml><?xml version="1.0" encoding="utf-8"?>
<sst xmlns="http://schemas.openxmlformats.org/spreadsheetml/2006/main" count="279" uniqueCount="166">
  <si>
    <t>Kwota kredytu w PLN</t>
  </si>
  <si>
    <t>Data udzielenia kredytu</t>
  </si>
  <si>
    <t>Okres kredytowania (mies)</t>
  </si>
  <si>
    <t xml:space="preserve">Rata naliczona </t>
  </si>
  <si>
    <t>Rata należna</t>
  </si>
  <si>
    <t>Różnica</t>
  </si>
  <si>
    <t>Rok</t>
  </si>
  <si>
    <t>CHF</t>
  </si>
  <si>
    <t>PLN</t>
  </si>
  <si>
    <t>Rata kapitałowa</t>
  </si>
  <si>
    <t>Rata odsetkowa</t>
  </si>
  <si>
    <t>Zadłużenie</t>
  </si>
  <si>
    <t>Rata całościowa</t>
  </si>
  <si>
    <t>Rat</t>
  </si>
  <si>
    <t>Suma:</t>
  </si>
  <si>
    <t>Marża banku w %</t>
  </si>
  <si>
    <t>Wcześniejsza spłata</t>
  </si>
  <si>
    <t>Okres kredytowania</t>
  </si>
  <si>
    <t>Karencja w spłacie kapitału (mies)</t>
  </si>
  <si>
    <t>&lt; - Jeżeli na początku spłacałeś tylko odsetki, to podaj tutaj liczbę miesięcy karencji w spłacie kapitału. Pole może zostać też puste.</t>
  </si>
  <si>
    <t>Spłata tylko odsetek?</t>
  </si>
  <si>
    <t>Kolejna transza kredytu</t>
  </si>
  <si>
    <t xml:space="preserve">Rata odsetkowa </t>
  </si>
  <si>
    <t>Kurs sprzedaży stosowany przez bank</t>
  </si>
  <si>
    <t>Wakacje kredytowe - spłata tylko odsetek</t>
  </si>
  <si>
    <t>Kolejne transze kredytu / wcześniejsza spłata</t>
  </si>
  <si>
    <t>`</t>
  </si>
  <si>
    <t>Wysokość zadłużenia</t>
  </si>
  <si>
    <t>Oprocentowanie</t>
  </si>
  <si>
    <t>Raty malejące</t>
  </si>
  <si>
    <t>tak</t>
  </si>
  <si>
    <t>Hipotetyczny kredyt złotowy</t>
  </si>
  <si>
    <t>Kredyt wg kursu średniego NBP</t>
  </si>
  <si>
    <t>Dzień spłaty</t>
  </si>
  <si>
    <t>WIBOR 3M</t>
  </si>
  <si>
    <t>Rata razem</t>
  </si>
  <si>
    <t>Raty należne wg banku</t>
  </si>
  <si>
    <t>Rata kredytu</t>
  </si>
  <si>
    <t>Rata po przeliczeniu wg kursu banku</t>
  </si>
  <si>
    <t>Raty bez klauzul indeksacyjnych</t>
  </si>
  <si>
    <t>Nienależna nadwyżka</t>
  </si>
  <si>
    <t>Wartość połowy spreadu</t>
  </si>
  <si>
    <t>Raty równe / malejące</t>
  </si>
  <si>
    <t>&lt;- Wybierz określony w umowie system rat spłaty kredytu - równy lub malejący.</t>
  </si>
  <si>
    <t>równe</t>
  </si>
  <si>
    <t>malejące</t>
  </si>
  <si>
    <t>raty równe</t>
  </si>
  <si>
    <t>raty malejące</t>
  </si>
  <si>
    <t>Razem rata</t>
  </si>
  <si>
    <t>Miesiąc spłaty raty</t>
  </si>
  <si>
    <t>Średniomiesięczny kurs NBP</t>
  </si>
  <si>
    <t>&lt; - Podaj datę wypłaty kredytu.</t>
  </si>
  <si>
    <t>&lt; - Podaj okres kredytowania w miesiącach (np. 20 lat = 240 miesięcy, 30 lat = 360 miesięcy). Jeżeli później wydłużyłeś/skróciłeś okres kredytowania możesz podać nową wartość w kolumnie P poczynając od odpowiedniego miesiąca.</t>
  </si>
  <si>
    <t>&lt;- W kolumnie R możesz podać wartość kolejnych wypłacanych transz kredytu w PLN w odpowiednich miesiącach. W kolumnie S możesz podać wartość wcześniejszych spłat kredytu w PLN. Wartości podawaj bez znaku minus.</t>
  </si>
  <si>
    <t>&lt;- W kolumnie Q możesz wybrać opcję "tak", jeżeli w danym miesiącu spłacałeś tylko odsetki od kredytu, bez kapitału.</t>
  </si>
  <si>
    <t>EUR</t>
  </si>
  <si>
    <t>LIBOR 3M CHF</t>
  </si>
  <si>
    <t>Rozliczenie kredytu bez indeksacji (tzw. odfrankowienie)</t>
  </si>
  <si>
    <t>nie dotyczy</t>
  </si>
  <si>
    <t>Rozliczenie nieważnej umowy kredytu</t>
  </si>
  <si>
    <t>&lt;-- Przy umowie bez indeksacji zakładamy, że umowa musi być wykonywana dalej, bez powiązania z kursem waluty obcej, ale przy zachowaniu oprocentowania określonego umową.</t>
  </si>
  <si>
    <t>waluta</t>
  </si>
  <si>
    <t>Aktualna wysokość miesięcznej raty spłaty kredytu</t>
  </si>
  <si>
    <t>Aktualna wysokość zadłużenia</t>
  </si>
  <si>
    <t>Nadpłata kredytobiorcy</t>
  </si>
  <si>
    <t>Łączna korzyść kredytobiorcy</t>
  </si>
  <si>
    <t>Zmniejszenie salda zadłużenia w porównaniu do aktualnego roszczenia banku</t>
  </si>
  <si>
    <t>&lt;-- To jest rozliczenie kredytu, gdyby od początku był to kredyt złotowy, tj. oprocentowany wg stawki WIBOR z marżą jak w umowie. Jeżeli nadpłata kredytobiorcy jest ujemna, to oznacza, że suma rat kredytu złotowego byłaby wyższa niż kwoty zapłacone przez kredytobiorcę "frankowego"</t>
  </si>
  <si>
    <t>Suma zapłaconych rat kredytu</t>
  </si>
  <si>
    <t>Suma należnych rat kredytu</t>
  </si>
  <si>
    <t>Aktualna wysokość  zadłużenia</t>
  </si>
  <si>
    <t>Rata bez klauzul indeksacyjnych</t>
  </si>
  <si>
    <t xml:space="preserve">Kredyt indeksowany do </t>
  </si>
  <si>
    <t>USD</t>
  </si>
  <si>
    <t>Data</t>
  </si>
  <si>
    <t xml:space="preserve">miesięczny kurs średni NBP </t>
  </si>
  <si>
    <t>wskaźniki oprocentowania</t>
  </si>
  <si>
    <t>indeks</t>
  </si>
  <si>
    <t>LIBOR 3M USD</t>
  </si>
  <si>
    <t>EURIBOR 3M EUR</t>
  </si>
  <si>
    <t>Wysokość wskaźników LIBOR w okresie od 09.2006 za stroną mBanku. Za wcześniejszy okres wartość podana na pierwszy dzień miesiąca wg portalu Money.pl</t>
  </si>
  <si>
    <t>&lt;- Tutaj podaj walutę indeksacji: CHF, EUR lub USD.</t>
  </si>
  <si>
    <t>&lt;- Tutaj wpisz ustaloną przez bank kwotę kredytu w walucie obcej przy wypłacie. Możesz też zostawić przeliczenie automatyczne.</t>
  </si>
  <si>
    <t>&lt;- Tutaj wpisz kwotę kredytu w PLN (I transzy). Jeżeli kredyt był wypłacany w transzach, kolejne transze wpisz w arkuszu "KALKULATOR" w kolumnie R w odpowiednich miesiącach. Wcześniejsze spłaty podaj w kolumnie S. Wartości podawaj bez znaku minus.</t>
  </si>
  <si>
    <t>&lt;-- Rozliczenie kredytu wg banku, przy założeniu, że umowa jest w całości uczciwa i ważna.</t>
  </si>
  <si>
    <t>&lt;-- Przy nieważności umowy zakładamy, że strony mają sobie nawzajem zwrócić to co otrzymały w wykonaniu tej umowy. Nie jest brane pod uwagę przedawnienie. Ujemna nadpłata kredytobiorcy oznacza konieczność zwrotu do banku tej kwoty wynikającej z porównania kwoty otrzymanej przez kredytobiorcę a zapłaconej przez kredytobiorcę bankowi.</t>
  </si>
  <si>
    <t>Data, od której kredyt spłacany jest w walucie</t>
  </si>
  <si>
    <t>&lt;- Tutaj podaj zastosowany przez bank kurs kupna waluty z dnia wypłaty kredytu. Możesz też zostawić przeliczenie automatyczne.</t>
  </si>
  <si>
    <t>&lt;- Tutaj podaj marżę na oprocentowaniu kredytu, która jest doliczana do stawki bazowej oprocentowania (LIBOR/EURIBOR). Możesz w kolumnie M wstawić rzeczywiste oprocentowanie stosowane w danym miesiącu przez Twój bank.</t>
  </si>
  <si>
    <t xml:space="preserve">&lt; - Jeżeli spłacasz kredyt bezpośrednio w walucie, podaj tutaj datę, od której to robisz. Możesz to pole zostawić puste. </t>
  </si>
  <si>
    <t>&lt; - Tutaj jest podana wartość, o ile kurs stosowany przez bank był gorszy od średniego kursu NBP. Domyślna wartość 3% odpowiada najczęściej stosowanemu przez banki spreadowi w wysokości 6%, ale możesz tę wartość zmienić. Możesz też wpisać ręcznie kurs stosowany przez Twój bank (koiumna D)</t>
  </si>
  <si>
    <t>Bazowa stawka oprocentowania</t>
  </si>
  <si>
    <t>Stawka bazowa + marża</t>
  </si>
  <si>
    <t>Propozycja PKO BP</t>
  </si>
  <si>
    <t>Marża ponad średnią wartość  WIBOR® 3M</t>
  </si>
  <si>
    <t>Dane KNF</t>
  </si>
  <si>
    <t>https://www.knf.gov.pl/dla_rynku/sad_polubowny_przy_KNF/mediacja/marza?articleId=72862&amp;p_id=18</t>
  </si>
  <si>
    <t>Dla okresu 2002 -2003 przyjęto marżę z umowy</t>
  </si>
  <si>
    <t>Niedopłata/nadpłata raty względem kredytu faktycznie udzielonego</t>
  </si>
  <si>
    <t>Rozliczenie kredytu jak kredytu w PLN (marża z umowy)</t>
  </si>
  <si>
    <t>Przeciętna marża kredytu złotowego z daty udzielenia kredytu</t>
  </si>
  <si>
    <t>Aktualne rozliczenie kredytu wg banku</t>
  </si>
  <si>
    <t>Ugoda PKO BP</t>
  </si>
  <si>
    <t xml:space="preserve">&lt;-- To jest rozliczenie kredytu na warunkach proponowanych w ugodzie przez PKO BP. Warunki ugody zakładają oprocentowanie kredytu wg WIBOR 3M powiększonej o przeciętną marżę kredytu złotowego z miesiąca udzielenia faktycznego kredytu - wysokość można zmienić w komórce BO4 . Kwoty faktycznie zapłacone przez kredytobiorcę są porównywane z hipotetycznymi spłatami i na bieżąco zwiększają lub zmniejszają saldo zadłużenia. </t>
  </si>
  <si>
    <t>Rozliczenie wg propozycji ugodowej PKO BP</t>
  </si>
  <si>
    <t>Rozliczenie wg propozycji ugodowej Banku Millennium</t>
  </si>
  <si>
    <t>Porównanie różnych wariantów rozliczeń kredytu na:</t>
  </si>
  <si>
    <t>Wariant 1. Przeliczenie kapitału do spłaty wg kursu:</t>
  </si>
  <si>
    <t>Wariant 3. Kredyt jak złotowy od początku</t>
  </si>
  <si>
    <t>Aktualna stawka WIBOR</t>
  </si>
  <si>
    <t>Pozostałych rat spłaty</t>
  </si>
  <si>
    <t>Proponowana marża na oprocentow-aniu kredytu:</t>
  </si>
  <si>
    <t>Proponowany kurs do przeliczenia:</t>
  </si>
  <si>
    <t>Wariant 2. Jak wyżej, ale połowa oszczędności zmniejsza kapitał, a druga połowa jest wypłacana kredytobiorcy</t>
  </si>
  <si>
    <t>Marża z umowy</t>
  </si>
  <si>
    <t>Stawki EURIBOR</t>
  </si>
  <si>
    <t>https://www.mbank.pl/indywidualny/kredyty/kredyty-hipoteczne/mam-kredyt-hipoteczny/#wibor</t>
  </si>
  <si>
    <t>Liczone przez bank wynagrodzenie za korzystanie z kapitału</t>
  </si>
  <si>
    <t>Odsetki od przeciętnego kredytu</t>
  </si>
  <si>
    <t>Wpłata rzeczywista</t>
  </si>
  <si>
    <t>Aktualna wysokość  zadłużenia (CHF)</t>
  </si>
  <si>
    <t>Aktualna wysokość zadłużenia (PLN)</t>
  </si>
  <si>
    <t>Proponowana wysokość zadłużenia</t>
  </si>
  <si>
    <t>Oprocentowanie na przyszłość:</t>
  </si>
  <si>
    <t>Proponowana miesięczna rata spłaty kredytu (oprocentowanie stałe na 5 lat)</t>
  </si>
  <si>
    <t>Proponowana miesięczna rata spłaty kredytu (oprocentowanie zmienne)</t>
  </si>
  <si>
    <t>Kapitał do spłaty po przeliczeniu (PLN)</t>
  </si>
  <si>
    <t>Zmniejszenie kapitału o (PLN):</t>
  </si>
  <si>
    <t>Wysokość raty (PLN)</t>
  </si>
  <si>
    <t>Rozliczenie wg propozycji ugodowej mBanku</t>
  </si>
  <si>
    <t>Suma zapłaconych rat kredytu (PLN)</t>
  </si>
  <si>
    <t>Suma roszczeń banku po potrąceniu o dotychczasowe spłaty kredytu (PLN):</t>
  </si>
  <si>
    <t>Suma roszczeń banku (PLN):</t>
  </si>
  <si>
    <t>Roszczenie o zwrot kapitału (PLN):</t>
  </si>
  <si>
    <t>Roszczenie o wynagrodzenie za tzw. korzystanie z kapitału (PLN):</t>
  </si>
  <si>
    <t>Zmniejszenie salda zadłużenia w porównaniu do aktualnego roszczenia banku:</t>
  </si>
  <si>
    <t>Łączna korzyść kredytobiorcy (PLN):</t>
  </si>
  <si>
    <t>&lt;-- To jest rozliczenie kredytu na warunkach proponowanych w ugodzie przez mBank. Porównaj to z warunkami możliwymi do uzyskania w sądzie powyżej lub roszczeniami o tzw. dodatkowe wynagrodzenie za korzystanie z kapitału, pokazanymi poniżej.</t>
  </si>
  <si>
    <t>&lt;-- Tak wygląda porównanie wysokości potencjalnego roszczenia banku o tzw. dodatkowe wynagrodzenie za korzystanie z kapitału z aktualnym rozliczeniem kredytu wg banku. Wysokość potencjalnego roszczenia banku opiera się na dotychczasowych wyliczeniach banków w takich sprawach, ale jest przybliżona. W rzeczywistym pozwie banku wysokość tego roszczenia może być inna.</t>
  </si>
  <si>
    <t>Wysokość potencjalnego roszczenia banku o wynagrodzenie za korzystanie z kapitału</t>
  </si>
  <si>
    <t xml:space="preserve">www.kancelariaczabanski.pl © Jacek Czabański 2016-2023 Użytek dozwolony wyłącznie na cele osobiste. Publikowane narzędzie ma charakter pomocniczy, a wyliczenia mają charakter orientacyjny. Dokładne wyliczenia powinny być sporządzone przez specjalistę z uwzględnieniem rzeczywiście stosowanego przez bank oprocentowania, dokładnych kwot i dat wypłat transz kredytu oraz kwot płaconych przez kredytobiorcę. Wykorzystanie do celów zawodowych i gospodarczych wymaga wcześniejszej pisemnej zgody. </t>
  </si>
  <si>
    <t>%</t>
  </si>
  <si>
    <t>Skumulowany wskaźnik Inflacji do ostatniego miesiąca</t>
  </si>
  <si>
    <t>Waloryzacja spłat kredytobiorcy</t>
  </si>
  <si>
    <t>https://stat.gov.pl/obszary-tematyczne/ceny-handel/wskazniki-cen/wskazniki-cen-towarow-i-uslug-konsumpcyjnych-pot-inflacja-/miesieczne-wskazniki-cen-towarow-i-uslug-konsumpcyjnych-od-1982-roku/</t>
  </si>
  <si>
    <t>Skumulowany miesięczny wskaźnik inflacji</t>
  </si>
  <si>
    <t>Waloryzajcja wypłat kredytu</t>
  </si>
  <si>
    <t>Waloryzacja kolejnych transz</t>
  </si>
  <si>
    <t>Waloryzacja płatności wskaźnikiem inflacji</t>
  </si>
  <si>
    <t>Wartość nominalna</t>
  </si>
  <si>
    <t>Dodatkowa wartość waloryzacji wskaźnikiem inflacji</t>
  </si>
  <si>
    <t>Łącznie</t>
  </si>
  <si>
    <t>Różnica z uwzględnieniem sum nominalnych powiększonych o waloryzację</t>
  </si>
  <si>
    <t>Różnica w spłatach w wysokości nominalnej</t>
  </si>
  <si>
    <t>Wysokość kolejnych transz (PLN)</t>
  </si>
  <si>
    <t>Wysokość kredytu (lub I transzy) (PLN)</t>
  </si>
  <si>
    <t>Różnica (minus oznacza dopłatę na rzecz banku) (PLN)</t>
  </si>
  <si>
    <t>Waloryzacja płatności obu strony umowy wskaźnikiem inflacji</t>
  </si>
  <si>
    <t>Waloryzacja kwoty kredytu (I transzy)</t>
  </si>
  <si>
    <t>Razem wypłacone przez bank (PLN)</t>
  </si>
  <si>
    <t>Wysokość spłat kredytobiorcy, w tym przed-terminowych (PLN)</t>
  </si>
  <si>
    <t>Kalkulator szacuje wartość waloryzacji płatności obu stron umowy wskaźnikiem inflacji dla płatności w złotych, tak aby utrzymać siłę nabywczą kwoty nominalnej. W przypadku płatności w walucie obcej wskaźnik waloryzacji nie ma uzasadnienia, jeżeli wzrost wartości waluty obcej od płatności był wyższy niż wskaźnik inflacji.</t>
  </si>
  <si>
    <t>Różnica w wysokości kwot waloryzacji</t>
  </si>
  <si>
    <t>ver. 13.04</t>
  </si>
  <si>
    <t>Korekta Euribor 3M</t>
  </si>
  <si>
    <t>Korekta Saron 3M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</si>
</sst>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_);[Red]\(#,##0.00\ &quot;zł&quot;\)"/>
    <numFmt numFmtId="164" formatCode="_-* #,##0.00\ _z_ł_-;\-* #,##0.00\ _z_ł_-;_-* &quot;-&quot;??\ _z_ł_-;_-@_-"/>
    <numFmt numFmtId="165" formatCode="0.0000"/>
    <numFmt numFmtId="166" formatCode="#,##0.0000\ &quot;zł&quot;;[Red]\-#,##0.0000\ &quot;zł&quot;"/>
    <numFmt numFmtId="167" formatCode="_-* #,##0\ _z_ł_-;\-* #,##0\ _z_ł_-;_-* &quot;-&quot;??\ _z_ł_-;_-@_-"/>
    <numFmt numFmtId="168" formatCode="[$-415]mmm\ yy;@"/>
    <numFmt numFmtId="169" formatCode="[$-415]mmmm\ yy;@"/>
    <numFmt numFmtId="170" formatCode="#0.0000"/>
    <numFmt numFmtId="173" formatCode="0.0000%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1EB9B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 style="hair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/>
    <xf numFmtId="0" fontId="0" fillId="2" borderId="0" xfId="0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0" fillId="2" borderId="0" xfId="0" applyFill="1"/>
    <xf numFmtId="168" fontId="0" fillId="2" borderId="0" xfId="0" applyNumberFormat="1" applyFill="1"/>
    <xf numFmtId="9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0" fillId="2" borderId="2" xfId="20" applyNumberFormat="1" applyFont="1" applyFill="1" applyBorder="1" applyAlignment="1" applyProtection="1">
      <alignment/>
      <protection/>
    </xf>
    <xf numFmtId="4" fontId="0" fillId="2" borderId="0" xfId="0" applyNumberFormat="1" applyFill="1"/>
    <xf numFmtId="3" fontId="0" fillId="2" borderId="0" xfId="0" applyNumberFormat="1" applyFill="1"/>
    <xf numFmtId="0" fontId="0" fillId="2" borderId="2" xfId="0" applyFill="1" applyBorder="1" applyAlignment="1">
      <alignment wrapText="1"/>
    </xf>
    <xf numFmtId="168" fontId="0" fillId="2" borderId="2" xfId="0" applyNumberForma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center" wrapText="1"/>
    </xf>
    <xf numFmtId="4" fontId="0" fillId="2" borderId="5" xfId="0" applyNumberFormat="1" applyFill="1" applyBorder="1" applyAlignment="1">
      <alignment horizontal="center" wrapText="1"/>
    </xf>
    <xf numFmtId="4" fontId="0" fillId="2" borderId="0" xfId="0" applyNumberFormat="1" applyFill="1" applyAlignment="1">
      <alignment wrapText="1"/>
    </xf>
    <xf numFmtId="0" fontId="0" fillId="2" borderId="7" xfId="0" applyFill="1" applyBorder="1" applyAlignment="1">
      <alignment wrapText="1"/>
    </xf>
    <xf numFmtId="3" fontId="0" fillId="2" borderId="6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/>
    <xf numFmtId="168" fontId="0" fillId="2" borderId="2" xfId="0" applyNumberFormat="1" applyFill="1" applyBorder="1"/>
    <xf numFmtId="10" fontId="0" fillId="3" borderId="8" xfId="0" applyNumberFormat="1" applyFill="1" applyBorder="1" applyAlignment="1" applyProtection="1">
      <alignment horizontal="center"/>
      <protection locked="0"/>
    </xf>
    <xf numFmtId="167" fontId="0" fillId="3" borderId="6" xfId="20" applyNumberFormat="1" applyFont="1" applyFill="1" applyBorder="1" applyAlignment="1" applyProtection="1">
      <alignment/>
      <protection locked="0"/>
    </xf>
    <xf numFmtId="167" fontId="0" fillId="3" borderId="5" xfId="20" applyNumberFormat="1" applyFont="1" applyFill="1" applyBorder="1" applyAlignment="1" applyProtection="1">
      <alignment/>
      <protection locked="0"/>
    </xf>
    <xf numFmtId="3" fontId="0" fillId="3" borderId="5" xfId="20" applyNumberFormat="1" applyFont="1" applyFill="1" applyBorder="1" applyAlignment="1" applyProtection="1">
      <alignment/>
      <protection locked="0"/>
    </xf>
    <xf numFmtId="3" fontId="0" fillId="3" borderId="9" xfId="20" applyNumberFormat="1" applyFont="1" applyFill="1" applyBorder="1" applyAlignment="1" applyProtection="1">
      <alignment/>
      <protection locked="0"/>
    </xf>
    <xf numFmtId="14" fontId="0" fillId="2" borderId="0" xfId="0" applyNumberFormat="1" applyFill="1"/>
    <xf numFmtId="10" fontId="0" fillId="2" borderId="0" xfId="0" applyNumberFormat="1" applyFill="1"/>
    <xf numFmtId="1" fontId="0" fillId="2" borderId="2" xfId="0" applyNumberFormat="1" applyFill="1" applyBorder="1"/>
    <xf numFmtId="3" fontId="0" fillId="3" borderId="10" xfId="20" applyNumberFormat="1" applyFont="1" applyFill="1" applyBorder="1" applyAlignment="1" applyProtection="1">
      <alignment/>
      <protection locked="0"/>
    </xf>
    <xf numFmtId="3" fontId="0" fillId="3" borderId="11" xfId="20" applyNumberFormat="1" applyFont="1" applyFill="1" applyBorder="1" applyAlignment="1" applyProtection="1">
      <alignment/>
      <protection locked="0"/>
    </xf>
    <xf numFmtId="167" fontId="0" fillId="2" borderId="0" xfId="20" applyNumberFormat="1" applyFont="1" applyFill="1" applyAlignment="1" applyProtection="1">
      <alignment/>
      <protection/>
    </xf>
    <xf numFmtId="3" fontId="0" fillId="2" borderId="0" xfId="20" applyNumberFormat="1" applyFont="1" applyFill="1" applyAlignment="1" applyProtection="1">
      <alignment/>
      <protection/>
    </xf>
    <xf numFmtId="4" fontId="0" fillId="2" borderId="0" xfId="20" applyNumberFormat="1" applyFont="1" applyFill="1" applyAlignment="1" applyProtection="1">
      <alignment/>
      <protection/>
    </xf>
    <xf numFmtId="4" fontId="0" fillId="2" borderId="0" xfId="0" applyNumberFormat="1" applyFill="1" applyAlignment="1">
      <alignment horizontal="center"/>
    </xf>
    <xf numFmtId="0" fontId="5" fillId="2" borderId="0" xfId="0" applyFont="1" applyFill="1"/>
    <xf numFmtId="168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7" fontId="5" fillId="2" borderId="0" xfId="20" applyNumberFormat="1" applyFont="1" applyFill="1" applyAlignment="1" applyProtection="1">
      <alignment/>
      <protection/>
    </xf>
    <xf numFmtId="3" fontId="5" fillId="2" borderId="0" xfId="20" applyNumberFormat="1" applyFont="1" applyFill="1" applyAlignment="1" applyProtection="1">
      <alignment/>
      <protection/>
    </xf>
    <xf numFmtId="4" fontId="5" fillId="2" borderId="0" xfId="20" applyNumberFormat="1" applyFont="1" applyFill="1" applyAlignment="1" applyProtection="1">
      <alignment/>
      <protection/>
    </xf>
    <xf numFmtId="4" fontId="5" fillId="2" borderId="0" xfId="0" applyNumberFormat="1" applyFont="1" applyFill="1"/>
    <xf numFmtId="3" fontId="5" fillId="2" borderId="0" xfId="0" applyNumberFormat="1" applyFont="1" applyFill="1"/>
    <xf numFmtId="0" fontId="6" fillId="2" borderId="12" xfId="0" applyFont="1" applyFill="1" applyBorder="1"/>
    <xf numFmtId="0" fontId="6" fillId="2" borderId="13" xfId="0" applyFont="1" applyFill="1" applyBorder="1"/>
    <xf numFmtId="3" fontId="6" fillId="3" borderId="7" xfId="0" applyNumberFormat="1" applyFont="1" applyFill="1" applyBorder="1" applyProtection="1">
      <protection locked="0"/>
    </xf>
    <xf numFmtId="0" fontId="6" fillId="2" borderId="14" xfId="0" applyFont="1" applyFill="1" applyBorder="1"/>
    <xf numFmtId="0" fontId="6" fillId="2" borderId="15" xfId="0" applyFont="1" applyFill="1" applyBorder="1"/>
    <xf numFmtId="10" fontId="6" fillId="3" borderId="7" xfId="0" applyNumberFormat="1" applyFont="1" applyFill="1" applyBorder="1" applyProtection="1">
      <protection locked="0"/>
    </xf>
    <xf numFmtId="14" fontId="6" fillId="3" borderId="7" xfId="0" applyNumberFormat="1" applyFont="1" applyFill="1" applyBorder="1" applyProtection="1">
      <protection locked="0"/>
    </xf>
    <xf numFmtId="1" fontId="6" fillId="3" borderId="7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0" applyFont="1" applyFill="1" applyBorder="1" applyAlignment="1" applyProtection="1">
      <alignment horizontal="right"/>
      <protection locked="0"/>
    </xf>
    <xf numFmtId="0" fontId="5" fillId="2" borderId="15" xfId="0" applyFont="1" applyFill="1" applyBorder="1"/>
    <xf numFmtId="9" fontId="6" fillId="3" borderId="7" xfId="0" applyNumberFormat="1" applyFont="1" applyFill="1" applyBorder="1" applyProtection="1">
      <protection locked="0"/>
    </xf>
    <xf numFmtId="9" fontId="5" fillId="2" borderId="12" xfId="0" applyNumberFormat="1" applyFont="1" applyFill="1" applyBorder="1"/>
    <xf numFmtId="0" fontId="5" fillId="2" borderId="16" xfId="0" applyFont="1" applyFill="1" applyBorder="1"/>
    <xf numFmtId="0" fontId="6" fillId="2" borderId="0" xfId="0" applyFont="1" applyFill="1"/>
    <xf numFmtId="9" fontId="5" fillId="2" borderId="0" xfId="0" applyNumberFormat="1" applyFont="1" applyFill="1"/>
    <xf numFmtId="4" fontId="6" fillId="2" borderId="0" xfId="0" applyNumberFormat="1" applyFont="1" applyFill="1"/>
    <xf numFmtId="165" fontId="5" fillId="2" borderId="3" xfId="0" applyNumberFormat="1" applyFont="1" applyFill="1" applyBorder="1" applyAlignment="1" applyProtection="1">
      <alignment horizontal="center"/>
      <protection locked="0"/>
    </xf>
    <xf numFmtId="165" fontId="5" fillId="3" borderId="8" xfId="0" applyNumberFormat="1" applyFont="1" applyFill="1" applyBorder="1" applyAlignment="1" applyProtection="1">
      <alignment horizontal="center"/>
      <protection locked="0"/>
    </xf>
    <xf numFmtId="165" fontId="5" fillId="3" borderId="17" xfId="0" applyNumberFormat="1" applyFont="1" applyFill="1" applyBorder="1" applyAlignment="1" applyProtection="1">
      <alignment horizontal="center"/>
      <protection locked="0"/>
    </xf>
    <xf numFmtId="167" fontId="0" fillId="3" borderId="18" xfId="20" applyNumberFormat="1" applyFont="1" applyFill="1" applyBorder="1" applyAlignment="1" applyProtection="1">
      <alignment wrapText="1"/>
      <protection locked="0"/>
    </xf>
    <xf numFmtId="167" fontId="0" fillId="3" borderId="19" xfId="20" applyNumberFormat="1" applyFont="1" applyFill="1" applyBorder="1" applyAlignment="1" applyProtection="1">
      <alignment wrapText="1"/>
      <protection locked="0"/>
    </xf>
    <xf numFmtId="3" fontId="0" fillId="3" borderId="19" xfId="20" applyNumberFormat="1" applyFont="1" applyFill="1" applyBorder="1" applyAlignment="1" applyProtection="1">
      <alignment wrapText="1"/>
      <protection locked="0"/>
    </xf>
    <xf numFmtId="3" fontId="0" fillId="3" borderId="20" xfId="20" applyNumberFormat="1" applyFont="1" applyFill="1" applyBorder="1" applyAlignment="1" applyProtection="1">
      <alignment wrapText="1"/>
      <protection locked="0"/>
    </xf>
    <xf numFmtId="4" fontId="0" fillId="2" borderId="6" xfId="20" applyNumberFormat="1" applyFont="1" applyFill="1" applyBorder="1" applyAlignment="1" applyProtection="1">
      <alignment wrapText="1"/>
      <protection locked="0"/>
    </xf>
    <xf numFmtId="4" fontId="0" fillId="2" borderId="2" xfId="20" applyNumberFormat="1" applyFont="1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wrapText="1"/>
      <protection locked="0"/>
    </xf>
    <xf numFmtId="4" fontId="0" fillId="2" borderId="5" xfId="0" applyNumberFormat="1" applyFill="1" applyBorder="1" applyAlignment="1" applyProtection="1">
      <alignment horizontal="center" wrapText="1"/>
      <protection locked="0"/>
    </xf>
    <xf numFmtId="4" fontId="0" fillId="2" borderId="6" xfId="20" applyNumberFormat="1" applyFont="1" applyFill="1" applyBorder="1" applyAlignment="1" applyProtection="1">
      <alignment/>
      <protection locked="0"/>
    </xf>
    <xf numFmtId="4" fontId="0" fillId="2" borderId="2" xfId="20" applyNumberFormat="1" applyFont="1" applyFill="1" applyBorder="1" applyAlignment="1" applyProtection="1">
      <alignment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0" fontId="0" fillId="2" borderId="3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3" xfId="0" applyFont="1" applyFill="1" applyBorder="1"/>
    <xf numFmtId="0" fontId="6" fillId="4" borderId="3" xfId="0" applyFont="1" applyFill="1" applyBorder="1"/>
    <xf numFmtId="4" fontId="5" fillId="4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168" fontId="7" fillId="5" borderId="2" xfId="0" applyNumberFormat="1" applyFont="1" applyFill="1" applyBorder="1"/>
    <xf numFmtId="168" fontId="7" fillId="5" borderId="22" xfId="0" applyNumberFormat="1" applyFont="1" applyFill="1" applyBorder="1"/>
    <xf numFmtId="0" fontId="5" fillId="2" borderId="0" xfId="0" applyFont="1" applyFill="1"/>
    <xf numFmtId="3" fontId="6" fillId="3" borderId="7" xfId="0" applyNumberFormat="1" applyFont="1" applyFill="1" applyBorder="1" applyAlignment="1" applyProtection="1">
      <alignment horizontal="right"/>
      <protection locked="0"/>
    </xf>
    <xf numFmtId="3" fontId="5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8" fontId="0" fillId="0" borderId="2" xfId="0" applyNumberFormat="1" applyBorder="1" applyAlignment="1">
      <alignment horizontal="right"/>
    </xf>
    <xf numFmtId="168" fontId="7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165" fontId="5" fillId="0" borderId="2" xfId="0" applyNumberFormat="1" applyFont="1" applyBorder="1" applyAlignment="1">
      <alignment horizontal="right"/>
    </xf>
    <xf numFmtId="10" fontId="0" fillId="0" borderId="2" xfId="0" applyNumberFormat="1" applyBorder="1" applyAlignment="1" applyProtection="1">
      <alignment horizontal="right"/>
      <protection locked="0"/>
    </xf>
    <xf numFmtId="10" fontId="0" fillId="0" borderId="2" xfId="0" applyNumberFormat="1" applyBorder="1" applyAlignment="1">
      <alignment horizontal="right"/>
    </xf>
    <xf numFmtId="10" fontId="0" fillId="0" borderId="2" xfId="25" applyNumberFormat="1" applyFont="1" applyFill="1" applyBorder="1" applyAlignment="1" applyProtection="1">
      <alignment horizontal="right"/>
      <protection locked="0"/>
    </xf>
    <xf numFmtId="10" fontId="0" fillId="0" borderId="2" xfId="25" applyNumberFormat="1" applyFont="1" applyBorder="1"/>
    <xf numFmtId="0" fontId="5" fillId="2" borderId="0" xfId="0" applyFont="1" applyFill="1" applyAlignment="1">
      <alignment horizontal="left"/>
    </xf>
    <xf numFmtId="0" fontId="6" fillId="2" borderId="14" xfId="0" applyFont="1" applyFill="1" applyBorder="1"/>
    <xf numFmtId="0" fontId="6" fillId="2" borderId="0" xfId="0" applyFont="1" applyFill="1"/>
    <xf numFmtId="10" fontId="8" fillId="0" borderId="23" xfId="0" applyNumberFormat="1" applyFont="1" applyBorder="1" applyAlignment="1">
      <alignment horizontal="right"/>
    </xf>
    <xf numFmtId="10" fontId="8" fillId="0" borderId="24" xfId="0" applyNumberFormat="1" applyFont="1" applyBorder="1" applyAlignment="1">
      <alignment horizontal="right"/>
    </xf>
    <xf numFmtId="10" fontId="8" fillId="0" borderId="23" xfId="25" applyNumberFormat="1" applyFont="1" applyBorder="1"/>
    <xf numFmtId="10" fontId="8" fillId="0" borderId="24" xfId="25" applyNumberFormat="1" applyFont="1" applyBorder="1"/>
    <xf numFmtId="0" fontId="2" fillId="0" borderId="0" xfId="22" applyFill="1" applyAlignment="1" applyProtection="1">
      <alignment horizontal="left"/>
      <protection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right"/>
    </xf>
    <xf numFmtId="0" fontId="6" fillId="4" borderId="5" xfId="0" applyFont="1" applyFill="1" applyBorder="1" applyAlignment="1">
      <alignment horizontal="right"/>
    </xf>
    <xf numFmtId="4" fontId="0" fillId="2" borderId="2" xfId="0" applyNumberFormat="1" applyFill="1" applyBorder="1" applyAlignment="1">
      <alignment wrapText="1"/>
    </xf>
    <xf numFmtId="10" fontId="0" fillId="2" borderId="2" xfId="25" applyNumberFormat="1" applyFont="1" applyFill="1" applyBorder="1" applyProtection="1">
      <protection/>
    </xf>
    <xf numFmtId="4" fontId="0" fillId="2" borderId="2" xfId="0" applyNumberFormat="1" applyFill="1" applyBorder="1"/>
    <xf numFmtId="0" fontId="4" fillId="2" borderId="2" xfId="0" applyFont="1" applyFill="1" applyBorder="1"/>
    <xf numFmtId="3" fontId="4" fillId="2" borderId="0" xfId="0" applyNumberFormat="1" applyFont="1" applyFill="1"/>
    <xf numFmtId="0" fontId="0" fillId="6" borderId="25" xfId="0" applyFill="1" applyBorder="1"/>
    <xf numFmtId="0" fontId="0" fillId="6" borderId="11" xfId="0" applyFill="1" applyBorder="1" applyAlignment="1">
      <alignment horizontal="right"/>
    </xf>
    <xf numFmtId="4" fontId="0" fillId="6" borderId="11" xfId="0" applyNumberFormat="1" applyFill="1" applyBorder="1"/>
    <xf numFmtId="4" fontId="0" fillId="6" borderId="10" xfId="0" applyNumberFormat="1" applyFill="1" applyBorder="1"/>
    <xf numFmtId="0" fontId="0" fillId="6" borderId="26" xfId="0" applyFill="1" applyBorder="1"/>
    <xf numFmtId="10" fontId="0" fillId="6" borderId="21" xfId="25" applyNumberFormat="1" applyFont="1" applyFill="1" applyBorder="1"/>
    <xf numFmtId="0" fontId="0" fillId="6" borderId="21" xfId="0" applyFill="1" applyBorder="1"/>
    <xf numFmtId="0" fontId="0" fillId="6" borderId="27" xfId="0" applyFill="1" applyBorder="1"/>
    <xf numFmtId="0" fontId="6" fillId="7" borderId="25" xfId="0" applyFont="1" applyFill="1" applyBorder="1"/>
    <xf numFmtId="4" fontId="5" fillId="7" borderId="1" xfId="0" applyNumberFormat="1" applyFont="1" applyFill="1" applyBorder="1" applyAlignment="1">
      <alignment horizontal="right"/>
    </xf>
    <xf numFmtId="0" fontId="6" fillId="8" borderId="26" xfId="0" applyFont="1" applyFill="1" applyBorder="1"/>
    <xf numFmtId="0" fontId="6" fillId="8" borderId="27" xfId="0" applyFont="1" applyFill="1" applyBorder="1" applyAlignment="1">
      <alignment horizontal="right"/>
    </xf>
    <xf numFmtId="4" fontId="5" fillId="8" borderId="22" xfId="0" applyNumberFormat="1" applyFont="1" applyFill="1" applyBorder="1" applyAlignment="1">
      <alignment horizontal="right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169" fontId="6" fillId="2" borderId="0" xfId="0" applyNumberFormat="1" applyFont="1" applyFill="1"/>
    <xf numFmtId="0" fontId="4" fillId="6" borderId="10" xfId="0" applyFont="1" applyFill="1" applyBorder="1" applyAlignment="1">
      <alignment horizontal="right"/>
    </xf>
    <xf numFmtId="0" fontId="0" fillId="6" borderId="27" xfId="0" applyFill="1" applyBorder="1" applyAlignment="1">
      <alignment horizontal="right"/>
    </xf>
    <xf numFmtId="4" fontId="0" fillId="6" borderId="1" xfId="0" applyNumberFormat="1" applyFill="1" applyBorder="1"/>
    <xf numFmtId="0" fontId="0" fillId="6" borderId="22" xfId="0" applyFill="1" applyBorder="1"/>
    <xf numFmtId="8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165" fontId="6" fillId="9" borderId="7" xfId="0" applyNumberFormat="1" applyFont="1" applyFill="1" applyBorder="1" applyProtection="1">
      <protection locked="0"/>
    </xf>
    <xf numFmtId="0" fontId="6" fillId="2" borderId="0" xfId="0" applyFont="1" applyFill="1" applyAlignment="1">
      <alignment horizontal="right"/>
    </xf>
    <xf numFmtId="170" fontId="0" fillId="0" borderId="28" xfId="0" applyNumberFormat="1" applyBorder="1"/>
    <xf numFmtId="2" fontId="0" fillId="0" borderId="29" xfId="0" applyNumberFormat="1" applyBorder="1" applyProtection="1">
      <protection locked="0"/>
    </xf>
    <xf numFmtId="4" fontId="0" fillId="3" borderId="0" xfId="0" applyNumberFormat="1" applyFill="1" applyAlignment="1" applyProtection="1">
      <alignment horizontal="right"/>
      <protection locked="0"/>
    </xf>
    <xf numFmtId="4" fontId="0" fillId="2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10" fontId="0" fillId="3" borderId="30" xfId="0" applyNumberFormat="1" applyFill="1" applyBorder="1" applyProtection="1">
      <protection locked="0"/>
    </xf>
    <xf numFmtId="10" fontId="0" fillId="3" borderId="31" xfId="0" applyNumberForma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1" fontId="0" fillId="3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10" fontId="0" fillId="3" borderId="29" xfId="0" applyNumberFormat="1" applyFill="1" applyBorder="1" applyProtection="1">
      <protection locked="0"/>
    </xf>
    <xf numFmtId="10" fontId="9" fillId="0" borderId="0" xfId="0" applyNumberFormat="1" applyFont="1"/>
    <xf numFmtId="170" fontId="0" fillId="0" borderId="32" xfId="0" applyNumberFormat="1" applyBorder="1"/>
    <xf numFmtId="10" fontId="7" fillId="0" borderId="0" xfId="0" applyNumberFormat="1" applyFont="1"/>
    <xf numFmtId="10" fontId="10" fillId="0" borderId="0" xfId="0" applyNumberFormat="1" applyFont="1"/>
    <xf numFmtId="10" fontId="7" fillId="0" borderId="33" xfId="0" applyNumberFormat="1" applyFont="1" applyBorder="1"/>
    <xf numFmtId="4" fontId="0" fillId="2" borderId="6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/>
    </xf>
    <xf numFmtId="0" fontId="4" fillId="2" borderId="0" xfId="0" applyFont="1" applyFill="1"/>
    <xf numFmtId="0" fontId="0" fillId="6" borderId="0" xfId="0" applyFill="1"/>
    <xf numFmtId="10" fontId="0" fillId="6" borderId="0" xfId="25" applyNumberFormat="1" applyFont="1" applyFill="1" applyBorder="1"/>
    <xf numFmtId="0" fontId="0" fillId="10" borderId="0" xfId="0" applyFill="1"/>
    <xf numFmtId="0" fontId="0" fillId="10" borderId="0" xfId="0" applyFill="1" applyAlignment="1">
      <alignment horizontal="right"/>
    </xf>
    <xf numFmtId="10" fontId="0" fillId="10" borderId="0" xfId="25" applyNumberFormat="1" applyFont="1" applyFill="1" applyBorder="1"/>
    <xf numFmtId="0" fontId="4" fillId="6" borderId="0" xfId="0" applyFont="1" applyFill="1" applyAlignment="1">
      <alignment horizontal="right"/>
    </xf>
    <xf numFmtId="4" fontId="0" fillId="6" borderId="0" xfId="0" applyNumberFormat="1" applyFill="1"/>
    <xf numFmtId="0" fontId="6" fillId="6" borderId="2" xfId="0" applyFont="1" applyFill="1" applyBorder="1" applyAlignment="1">
      <alignment horizontal="right" wrapText="1"/>
    </xf>
    <xf numFmtId="10" fontId="0" fillId="6" borderId="0" xfId="0" applyNumberFormat="1" applyFill="1"/>
    <xf numFmtId="4" fontId="0" fillId="6" borderId="0" xfId="0" applyNumberFormat="1" applyFill="1" applyAlignment="1">
      <alignment horizontal="right"/>
    </xf>
    <xf numFmtId="4" fontId="0" fillId="2" borderId="0" xfId="0" applyNumberFormat="1" applyFill="1" applyProtection="1">
      <protection locked="0"/>
    </xf>
    <xf numFmtId="0" fontId="4" fillId="6" borderId="2" xfId="0" applyFont="1" applyFill="1" applyBorder="1" applyAlignment="1">
      <alignment horizontal="right" wrapText="1"/>
    </xf>
    <xf numFmtId="0" fontId="0" fillId="11" borderId="0" xfId="0" applyFill="1"/>
    <xf numFmtId="0" fontId="4" fillId="11" borderId="0" xfId="0" applyFont="1" applyFill="1" applyAlignment="1">
      <alignment horizontal="right" wrapText="1"/>
    </xf>
    <xf numFmtId="4" fontId="0" fillId="6" borderId="2" xfId="0" applyNumberFormat="1" applyFill="1" applyBorder="1"/>
    <xf numFmtId="40" fontId="0" fillId="6" borderId="2" xfId="0" applyNumberFormat="1" applyFill="1" applyBorder="1"/>
    <xf numFmtId="0" fontId="4" fillId="11" borderId="2" xfId="0" applyFont="1" applyFill="1" applyBorder="1" applyAlignment="1">
      <alignment horizontal="right" wrapText="1"/>
    </xf>
    <xf numFmtId="4" fontId="0" fillId="11" borderId="2" xfId="0" applyNumberFormat="1" applyFill="1" applyBorder="1" applyAlignment="1">
      <alignment horizontal="right"/>
    </xf>
    <xf numFmtId="4" fontId="0" fillId="11" borderId="2" xfId="0" applyNumberFormat="1" applyFill="1" applyBorder="1"/>
    <xf numFmtId="40" fontId="0" fillId="11" borderId="2" xfId="0" applyNumberFormat="1" applyFill="1" applyBorder="1"/>
    <xf numFmtId="0" fontId="2" fillId="0" borderId="0" xfId="22" applyAlignment="1" applyProtection="1">
      <alignment horizontal="left"/>
      <protection/>
    </xf>
    <xf numFmtId="0" fontId="4" fillId="11" borderId="0" xfId="0" applyFont="1" applyFill="1" applyAlignment="1">
      <alignment wrapText="1"/>
    </xf>
    <xf numFmtId="0" fontId="4" fillId="11" borderId="0" xfId="0" applyFont="1" applyFill="1"/>
    <xf numFmtId="4" fontId="4" fillId="11" borderId="2" xfId="0" applyNumberFormat="1" applyFont="1" applyFill="1" applyBorder="1" applyAlignment="1">
      <alignment horizontal="right" wrapText="1"/>
    </xf>
    <xf numFmtId="10" fontId="11" fillId="0" borderId="0" xfId="0" applyNumberFormat="1" applyFont="1"/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2" borderId="11" xfId="0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11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Excel Built-in Normal" xfId="21"/>
    <cellStyle name="Hiperłącze" xfId="22"/>
    <cellStyle name="Normal_sprzedaz" xfId="23"/>
    <cellStyle name="Normalny 2" xfId="24"/>
    <cellStyle name="Procentowy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Wysokość rat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kredytu indeksowanego oraz analogicznego kredytu złotowego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675"/>
          <c:y val="0.19725"/>
          <c:w val="0.83275"/>
          <c:h val="0.77725"/>
        </c:manualLayout>
      </c:layout>
      <c:lineChart>
        <c:grouping val="standard"/>
        <c:varyColors val="0"/>
        <c:ser>
          <c:idx val="0"/>
          <c:order val="0"/>
          <c:tx>
            <c:v>Rata kredytu indeksowanego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KALKULATOR!$B$5:$B$252</c:f>
              <c:strCache/>
            </c:strRef>
          </c:cat>
          <c:val>
            <c:numRef>
              <c:f>KALKULATOR!$F$5:$F$252</c:f>
              <c:numCache/>
            </c:numRef>
          </c:val>
          <c:smooth val="0"/>
        </c:ser>
        <c:ser>
          <c:idx val="1"/>
          <c:order val="1"/>
          <c:tx>
            <c:v>Rata kredytu złotowego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KALKULATOR!$BG$5:$BG$252</c:f>
              <c:numCache/>
            </c:numRef>
          </c:val>
          <c:smooth val="0"/>
        </c:ser>
        <c:axId val="57232895"/>
        <c:axId val="45334008"/>
      </c:lineChart>
      <c:dateAx>
        <c:axId val="57232895"/>
        <c:scaling>
          <c:orientation val="minMax"/>
        </c:scaling>
        <c:axPos val="t"/>
        <c:delete val="0"/>
        <c:numFmt formatCode="[$-415]mmm\ yy;@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334008"/>
        <c:crosses val="autoZero"/>
        <c:auto val="1"/>
        <c:baseTimeUnit val="days"/>
        <c:noMultiLvlLbl val="0"/>
      </c:dateAx>
      <c:valAx>
        <c:axId val="45334008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2328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67375"/>
          <c:y val="0.11775"/>
          <c:w val="0.281"/>
          <c:h val="0.16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79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14</xdr:row>
      <xdr:rowOff>266700</xdr:rowOff>
    </xdr:from>
    <xdr:to>
      <xdr:col>4</xdr:col>
      <xdr:colOff>180975</xdr:colOff>
      <xdr:row>14</xdr:row>
      <xdr:rowOff>1066800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695700"/>
          <a:ext cx="405765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Wykres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knf.gov.pl/dla_rynku/sad_polubowny_przy_KNF/mediacja/marza?articleId=72862&amp;p_id=18" TargetMode="External" /><Relationship Id="rId2" Type="http://schemas.openxmlformats.org/officeDocument/2006/relationships/hyperlink" Target="https://www.mbank.pl/indywidualny/kredyty/kredyty-hipoteczne/mam-kredyt-hipoteczny/#wibor" TargetMode="External" /><Relationship Id="rId3" Type="http://schemas.openxmlformats.org/officeDocument/2006/relationships/hyperlink" Target="https://stat.gov.pl/obszary-tematyczne/ceny-handel/wskazniki-cen/wskazniki-cen-towarow-i-uslug-konsumpcyjnych-pot-inflacja-/miesieczne-wskazniki-cen-towarow-i-uslug-konsumpcyjnych-od-1982-rok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45"/>
  <sheetViews>
    <sheetView tabSelected="1" workbookViewId="0" topLeftCell="A1">
      <selection activeCell="E33" sqref="E33"/>
    </sheetView>
  </sheetViews>
  <sheetFormatPr defaultColWidth="11.00390625" defaultRowHeight="15.75"/>
  <cols>
    <col min="1" max="1" width="7.50390625" style="0" customWidth="1"/>
    <col min="2" max="2" width="3.00390625" style="0" customWidth="1"/>
    <col min="3" max="3" width="12.375" style="0" customWidth="1"/>
    <col min="4" max="4" width="39.50390625" style="0" customWidth="1"/>
    <col min="5" max="5" width="16.875" style="0" customWidth="1"/>
    <col min="6" max="6" width="16.375" style="0" customWidth="1"/>
    <col min="7" max="7" width="12.625" style="0" customWidth="1"/>
    <col min="8" max="8" width="13.625" style="0" customWidth="1"/>
    <col min="9" max="9" width="17.125" style="0" customWidth="1"/>
    <col min="10" max="10" width="14.875" style="0" customWidth="1"/>
    <col min="11" max="12" width="14.375" style="0" customWidth="1"/>
    <col min="13" max="13" width="12.625" style="0" customWidth="1"/>
    <col min="14" max="14" width="68.125" style="0" customWidth="1"/>
  </cols>
  <sheetData>
    <row r="1" spans="2:59" s="52" customFormat="1" ht="17" customHeight="1" thickBot="1">
      <c r="B1" s="53"/>
      <c r="C1" s="4" t="s">
        <v>163</v>
      </c>
      <c r="L1" s="54"/>
      <c r="M1" s="54"/>
      <c r="N1" s="54"/>
      <c r="O1" s="54"/>
      <c r="P1" s="55"/>
      <c r="Q1" s="55"/>
      <c r="R1" s="56"/>
      <c r="S1" s="56"/>
      <c r="T1" s="57"/>
      <c r="U1" s="57"/>
      <c r="V1" s="57"/>
      <c r="W1" s="2"/>
      <c r="X1" s="2"/>
      <c r="Y1" s="2"/>
      <c r="Z1" s="2"/>
      <c r="AA1" s="2"/>
      <c r="AB1" s="54"/>
      <c r="AD1" s="58"/>
      <c r="AE1" s="58"/>
      <c r="AF1" s="58"/>
      <c r="AG1" s="58"/>
      <c r="AH1" s="58"/>
      <c r="AI1" s="58"/>
      <c r="AJ1" s="58"/>
      <c r="AK1" s="58"/>
      <c r="AL1" s="58"/>
      <c r="AV1" s="59"/>
      <c r="AW1" s="59"/>
      <c r="AX1" s="59"/>
      <c r="AY1" s="59"/>
      <c r="AZ1" s="59"/>
      <c r="BE1" s="58"/>
      <c r="BF1" s="58"/>
      <c r="BG1" s="58"/>
    </row>
    <row r="2" spans="2:59" s="52" customFormat="1" ht="20" customHeight="1" thickBot="1">
      <c r="B2" s="53"/>
      <c r="C2" s="60" t="s">
        <v>0</v>
      </c>
      <c r="D2" s="61"/>
      <c r="E2" s="62">
        <v>400000</v>
      </c>
      <c r="F2" s="114" t="s">
        <v>83</v>
      </c>
      <c r="L2" s="54"/>
      <c r="M2" s="54"/>
      <c r="N2" s="54"/>
      <c r="O2" s="54"/>
      <c r="P2" s="55"/>
      <c r="Q2" s="55"/>
      <c r="R2" s="56"/>
      <c r="S2" s="56"/>
      <c r="T2" s="57"/>
      <c r="U2" s="57"/>
      <c r="V2" s="57"/>
      <c r="W2" s="2"/>
      <c r="X2" s="2"/>
      <c r="Y2" s="2"/>
      <c r="Z2" s="2"/>
      <c r="AA2" s="2"/>
      <c r="AB2" s="54"/>
      <c r="AD2" s="58"/>
      <c r="AE2" s="58"/>
      <c r="AF2" s="58"/>
      <c r="AG2" s="58"/>
      <c r="AH2" s="58"/>
      <c r="AI2" s="58"/>
      <c r="AJ2" s="58"/>
      <c r="AK2" s="58"/>
      <c r="AL2" s="58"/>
      <c r="AV2" s="59"/>
      <c r="AW2" s="59"/>
      <c r="AX2" s="59"/>
      <c r="AY2" s="59"/>
      <c r="AZ2" s="59"/>
      <c r="BE2" s="58"/>
      <c r="BF2" s="58"/>
      <c r="BG2" s="58"/>
    </row>
    <row r="3" spans="2:59" s="52" customFormat="1" ht="20" customHeight="1" thickBot="1">
      <c r="B3" s="53"/>
      <c r="C3" s="60" t="s">
        <v>72</v>
      </c>
      <c r="D3" s="61"/>
      <c r="E3" s="115" t="s">
        <v>7</v>
      </c>
      <c r="F3" s="114" t="s">
        <v>81</v>
      </c>
      <c r="L3" s="54"/>
      <c r="M3" s="54"/>
      <c r="N3" s="54"/>
      <c r="O3" s="54"/>
      <c r="P3" s="55"/>
      <c r="Q3" s="55"/>
      <c r="R3" s="56"/>
      <c r="S3" s="56"/>
      <c r="T3" s="57"/>
      <c r="U3" s="57"/>
      <c r="V3" s="57"/>
      <c r="W3" s="2"/>
      <c r="X3" s="2"/>
      <c r="Y3" s="2"/>
      <c r="Z3" s="2"/>
      <c r="AA3" s="2"/>
      <c r="AB3" s="54"/>
      <c r="AD3" s="58"/>
      <c r="AE3" s="58"/>
      <c r="AF3" s="58"/>
      <c r="AG3" s="58"/>
      <c r="AH3" s="58"/>
      <c r="AI3" s="58"/>
      <c r="AJ3" s="58"/>
      <c r="AK3" s="58"/>
      <c r="AL3" s="58"/>
      <c r="AV3" s="59"/>
      <c r="AW3" s="59"/>
      <c r="AX3" s="59"/>
      <c r="AY3" s="59"/>
      <c r="AZ3" s="59"/>
      <c r="BE3" s="58"/>
      <c r="BF3" s="58"/>
      <c r="BG3" s="58"/>
    </row>
    <row r="4" spans="2:59" s="52" customFormat="1" ht="20" customHeight="1" thickBot="1">
      <c r="B4" s="53"/>
      <c r="C4" s="138" t="str">
        <f>_XLFN.CONCAT("Przyjęta przez bank równowartość kredytu w ",E3)</f>
        <v>Przyjęta przez bank równowartość kredytu w CHF</v>
      </c>
      <c r="D4" s="64"/>
      <c r="E4" s="62">
        <f>E2/E5</f>
        <v>181357.6981355522</v>
      </c>
      <c r="F4" s="114" t="s">
        <v>82</v>
      </c>
      <c r="L4" s="54"/>
      <c r="M4" s="54"/>
      <c r="N4" s="54"/>
      <c r="O4" s="54"/>
      <c r="P4" s="55"/>
      <c r="Q4" s="55"/>
      <c r="R4" s="56"/>
      <c r="S4" s="56"/>
      <c r="T4" s="57"/>
      <c r="U4" s="57"/>
      <c r="V4" s="57"/>
      <c r="W4" s="2"/>
      <c r="X4" s="2"/>
      <c r="Y4" s="2"/>
      <c r="Z4" s="2"/>
      <c r="AA4" s="2"/>
      <c r="AB4" s="54"/>
      <c r="AD4" s="58"/>
      <c r="AE4" s="58"/>
      <c r="AF4" s="58"/>
      <c r="AG4" s="58"/>
      <c r="AH4" s="58"/>
      <c r="AI4" s="58"/>
      <c r="AJ4" s="58"/>
      <c r="AK4" s="58"/>
      <c r="AL4" s="58"/>
      <c r="AV4" s="59"/>
      <c r="AW4" s="59"/>
      <c r="AX4" s="59"/>
      <c r="AY4" s="59"/>
      <c r="AZ4" s="59"/>
      <c r="BE4" s="58"/>
      <c r="BF4" s="58"/>
      <c r="BG4" s="58"/>
    </row>
    <row r="5" spans="2:59" s="52" customFormat="1" ht="20" customHeight="1" thickBot="1">
      <c r="B5" s="53"/>
      <c r="C5" s="138" t="str">
        <f>_XLFN.CONCAT("Kurs kupna ",E3," banku z miesiąca udzielenia kredytu")</f>
        <v>Kurs kupna CHF banku z miesiąca udzielenia kredytu</v>
      </c>
      <c r="D5" s="64"/>
      <c r="E5" s="178">
        <f>VLOOKUP(E7,Kursy,VLOOKUP(E3,waluta,2))*(1-E11)</f>
        <v>2.205586</v>
      </c>
      <c r="F5" s="114" t="s">
        <v>87</v>
      </c>
      <c r="L5" s="54"/>
      <c r="M5" s="54"/>
      <c r="N5" s="54"/>
      <c r="O5" s="54"/>
      <c r="P5" s="55"/>
      <c r="Q5" s="55"/>
      <c r="R5" s="56"/>
      <c r="S5" s="56"/>
      <c r="T5" s="57"/>
      <c r="U5" s="57"/>
      <c r="V5" s="57"/>
      <c r="W5" s="2"/>
      <c r="X5" s="2"/>
      <c r="Y5" s="2"/>
      <c r="Z5" s="2"/>
      <c r="AA5" s="2"/>
      <c r="AB5" s="54"/>
      <c r="AD5" s="58"/>
      <c r="AE5" s="58"/>
      <c r="AF5" s="58"/>
      <c r="AG5" s="58"/>
      <c r="AH5" s="58"/>
      <c r="AI5" s="58"/>
      <c r="AJ5" s="58"/>
      <c r="AK5" s="58"/>
      <c r="AL5" s="58"/>
      <c r="AV5" s="59"/>
      <c r="AW5" s="59"/>
      <c r="AX5" s="59"/>
      <c r="AY5" s="59"/>
      <c r="AZ5" s="59"/>
      <c r="BE5" s="58"/>
      <c r="BF5" s="58"/>
      <c r="BG5" s="58"/>
    </row>
    <row r="6" spans="2:59" s="52" customFormat="1" ht="20" customHeight="1" thickBot="1">
      <c r="B6" s="53"/>
      <c r="C6" s="63" t="s">
        <v>15</v>
      </c>
      <c r="D6" s="64"/>
      <c r="E6" s="65">
        <v>0.012</v>
      </c>
      <c r="F6" s="114" t="s">
        <v>88</v>
      </c>
      <c r="L6" s="54"/>
      <c r="M6" s="54"/>
      <c r="N6" s="54"/>
      <c r="O6" s="54"/>
      <c r="P6" s="55"/>
      <c r="Q6" s="55"/>
      <c r="R6" s="56"/>
      <c r="S6" s="56"/>
      <c r="T6" s="57"/>
      <c r="U6" s="57"/>
      <c r="V6" s="57"/>
      <c r="W6" s="2"/>
      <c r="X6" s="2"/>
      <c r="Y6" s="2"/>
      <c r="Z6" s="2"/>
      <c r="AA6" s="2"/>
      <c r="AB6" s="54"/>
      <c r="AD6" s="58"/>
      <c r="AE6" s="58"/>
      <c r="AF6" s="58"/>
      <c r="AG6" s="58"/>
      <c r="AH6" s="58"/>
      <c r="AI6" s="58"/>
      <c r="AJ6" s="58"/>
      <c r="AK6" s="58"/>
      <c r="AL6" s="58"/>
      <c r="AV6" s="59"/>
      <c r="AW6" s="59"/>
      <c r="AX6" s="59"/>
      <c r="AY6" s="59"/>
      <c r="AZ6" s="59"/>
      <c r="BE6" s="58"/>
      <c r="BF6" s="58"/>
      <c r="BG6" s="58"/>
    </row>
    <row r="7" spans="2:59" s="52" customFormat="1" ht="20" customHeight="1" thickBot="1">
      <c r="B7" s="53"/>
      <c r="C7" s="63" t="s">
        <v>1</v>
      </c>
      <c r="D7" s="64"/>
      <c r="E7" s="66">
        <v>39264</v>
      </c>
      <c r="F7" s="52" t="s">
        <v>51</v>
      </c>
      <c r="L7" s="54"/>
      <c r="M7" s="54"/>
      <c r="N7" s="54"/>
      <c r="O7" s="54"/>
      <c r="P7" s="55"/>
      <c r="Q7" s="55"/>
      <c r="R7" s="56"/>
      <c r="S7" s="56"/>
      <c r="T7" s="57"/>
      <c r="U7" s="57"/>
      <c r="V7" s="57"/>
      <c r="W7" s="2"/>
      <c r="X7" s="2"/>
      <c r="Y7" s="2"/>
      <c r="Z7" s="2"/>
      <c r="AA7" s="2"/>
      <c r="AB7" s="54"/>
      <c r="AD7" s="58"/>
      <c r="AE7" s="58"/>
      <c r="AF7" s="58"/>
      <c r="AG7" s="58"/>
      <c r="AH7" s="58"/>
      <c r="AI7" s="58"/>
      <c r="AJ7" s="58"/>
      <c r="AK7" s="58"/>
      <c r="AL7" s="58"/>
      <c r="AV7" s="59"/>
      <c r="AW7" s="59"/>
      <c r="AX7" s="59"/>
      <c r="AY7" s="59"/>
      <c r="AZ7" s="59"/>
      <c r="BE7" s="58"/>
      <c r="BF7" s="58"/>
      <c r="BG7" s="58"/>
    </row>
    <row r="8" spans="2:59" s="52" customFormat="1" ht="20" customHeight="1" thickBot="1">
      <c r="B8" s="53"/>
      <c r="C8" s="63" t="s">
        <v>2</v>
      </c>
      <c r="D8" s="64"/>
      <c r="E8" s="67">
        <v>360</v>
      </c>
      <c r="F8" s="52" t="s">
        <v>52</v>
      </c>
      <c r="L8" s="54"/>
      <c r="M8" s="54"/>
      <c r="N8" s="54"/>
      <c r="O8" s="54"/>
      <c r="P8" s="55"/>
      <c r="Q8" s="55"/>
      <c r="R8" s="56"/>
      <c r="S8" s="56"/>
      <c r="T8" s="57"/>
      <c r="U8" s="57"/>
      <c r="V8" s="57"/>
      <c r="W8" s="2"/>
      <c r="X8" s="2"/>
      <c r="Y8" s="2"/>
      <c r="Z8" s="2"/>
      <c r="AA8" s="2"/>
      <c r="AB8" s="54"/>
      <c r="AD8" s="58"/>
      <c r="AE8" s="58"/>
      <c r="AF8" s="58"/>
      <c r="AG8" s="58"/>
      <c r="AH8" s="58"/>
      <c r="AI8" s="58"/>
      <c r="AJ8" s="58"/>
      <c r="AK8" s="58"/>
      <c r="AL8" s="58"/>
      <c r="AV8" s="59"/>
      <c r="AW8" s="59"/>
      <c r="AX8" s="59"/>
      <c r="AY8" s="59"/>
      <c r="AZ8" s="59"/>
      <c r="BE8" s="58"/>
      <c r="BF8" s="58"/>
      <c r="BG8" s="58"/>
    </row>
    <row r="9" spans="2:59" s="52" customFormat="1" ht="20" customHeight="1" thickBot="1">
      <c r="B9" s="53"/>
      <c r="C9" s="63" t="s">
        <v>18</v>
      </c>
      <c r="D9" s="64"/>
      <c r="E9" s="68">
        <v>0</v>
      </c>
      <c r="F9" s="52" t="s">
        <v>19</v>
      </c>
      <c r="L9" s="54"/>
      <c r="M9" s="54"/>
      <c r="N9" s="54"/>
      <c r="O9" s="54"/>
      <c r="P9" s="55"/>
      <c r="Q9" s="55"/>
      <c r="R9" s="56"/>
      <c r="S9" s="56"/>
      <c r="T9" s="57"/>
      <c r="U9" s="57"/>
      <c r="V9" s="57"/>
      <c r="W9" s="2"/>
      <c r="X9" s="2"/>
      <c r="Y9" s="2"/>
      <c r="Z9" s="2"/>
      <c r="AA9" s="2"/>
      <c r="AB9" s="54"/>
      <c r="AD9" s="58"/>
      <c r="AE9" s="58"/>
      <c r="AF9" s="58"/>
      <c r="AG9" s="58"/>
      <c r="AH9" s="58"/>
      <c r="AI9" s="58"/>
      <c r="AJ9" s="58"/>
      <c r="AK9" s="58"/>
      <c r="AL9" s="58"/>
      <c r="AV9" s="59"/>
      <c r="AW9" s="59"/>
      <c r="AX9" s="59"/>
      <c r="AY9" s="59"/>
      <c r="AZ9" s="59"/>
      <c r="BE9" s="58"/>
      <c r="BF9" s="58"/>
      <c r="BG9" s="58"/>
    </row>
    <row r="10" spans="2:59" s="52" customFormat="1" ht="20" customHeight="1" thickBot="1">
      <c r="B10" s="53"/>
      <c r="C10" s="63" t="s">
        <v>42</v>
      </c>
      <c r="D10" s="64"/>
      <c r="E10" s="69" t="s">
        <v>44</v>
      </c>
      <c r="F10" s="52" t="s">
        <v>43</v>
      </c>
      <c r="L10" s="54"/>
      <c r="M10" s="54"/>
      <c r="N10" s="54"/>
      <c r="O10" s="54"/>
      <c r="P10" s="55"/>
      <c r="Q10" s="55"/>
      <c r="R10" s="56"/>
      <c r="S10" s="56"/>
      <c r="T10" s="57"/>
      <c r="U10" s="57"/>
      <c r="V10" s="57"/>
      <c r="W10" s="2"/>
      <c r="X10" s="2"/>
      <c r="Y10" s="2"/>
      <c r="Z10" s="2"/>
      <c r="AA10" s="2"/>
      <c r="AB10" s="54"/>
      <c r="AD10" s="58" t="s">
        <v>44</v>
      </c>
      <c r="AE10" s="58"/>
      <c r="AF10" s="58"/>
      <c r="AG10" s="58"/>
      <c r="AH10" s="58"/>
      <c r="AI10" s="58"/>
      <c r="AJ10" s="58"/>
      <c r="AK10" s="58"/>
      <c r="AL10" s="58"/>
      <c r="AV10" s="59"/>
      <c r="AW10" s="59"/>
      <c r="AX10" s="59"/>
      <c r="AY10" s="59"/>
      <c r="AZ10" s="59"/>
      <c r="BE10" s="58"/>
      <c r="BF10" s="58"/>
      <c r="BG10" s="58"/>
    </row>
    <row r="11" spans="2:59" s="52" customFormat="1" ht="20" customHeight="1" thickBot="1">
      <c r="B11" s="53"/>
      <c r="C11" s="63" t="s">
        <v>41</v>
      </c>
      <c r="D11" s="70"/>
      <c r="E11" s="71">
        <v>0.03</v>
      </c>
      <c r="F11" s="114" t="s">
        <v>90</v>
      </c>
      <c r="L11" s="54"/>
      <c r="M11" s="54"/>
      <c r="N11" s="54"/>
      <c r="O11" s="54"/>
      <c r="P11" s="55"/>
      <c r="Q11" s="55"/>
      <c r="R11" s="56"/>
      <c r="S11" s="56"/>
      <c r="T11" s="57"/>
      <c r="U11" s="57"/>
      <c r="V11" s="57"/>
      <c r="W11" s="2"/>
      <c r="X11" s="2"/>
      <c r="Y11" s="2"/>
      <c r="Z11" s="2"/>
      <c r="AA11" s="2"/>
      <c r="AB11" s="54"/>
      <c r="AD11" s="58" t="s">
        <v>45</v>
      </c>
      <c r="AE11" s="58"/>
      <c r="AF11" s="58"/>
      <c r="AG11" s="58"/>
      <c r="AH11" s="58"/>
      <c r="AI11" s="58"/>
      <c r="AJ11" s="58"/>
      <c r="AK11" s="58"/>
      <c r="AL11" s="58"/>
      <c r="AV11" s="59"/>
      <c r="AW11" s="59"/>
      <c r="AX11" s="59"/>
      <c r="AY11" s="59"/>
      <c r="AZ11" s="59"/>
      <c r="BE11" s="58"/>
      <c r="BF11" s="58"/>
      <c r="BG11" s="58"/>
    </row>
    <row r="12" spans="2:59" s="52" customFormat="1" ht="20" customHeight="1" thickBot="1">
      <c r="B12" s="53"/>
      <c r="C12" s="138" t="s">
        <v>86</v>
      </c>
      <c r="D12" s="70"/>
      <c r="E12" s="66"/>
      <c r="F12" s="114" t="s">
        <v>89</v>
      </c>
      <c r="L12" s="54"/>
      <c r="M12" s="54"/>
      <c r="N12" s="54"/>
      <c r="O12" s="54"/>
      <c r="P12" s="55"/>
      <c r="Q12" s="55"/>
      <c r="R12" s="56"/>
      <c r="S12" s="56"/>
      <c r="T12" s="57"/>
      <c r="U12" s="57"/>
      <c r="V12" s="57"/>
      <c r="W12" s="2"/>
      <c r="X12" s="2"/>
      <c r="Y12" s="2"/>
      <c r="Z12" s="2"/>
      <c r="AA12" s="2"/>
      <c r="AB12" s="54"/>
      <c r="AD12" s="58"/>
      <c r="AE12" s="58"/>
      <c r="AF12" s="58"/>
      <c r="AG12" s="58"/>
      <c r="AH12" s="58"/>
      <c r="AI12" s="58"/>
      <c r="AJ12" s="58"/>
      <c r="AK12" s="58"/>
      <c r="AL12" s="58"/>
      <c r="AV12" s="59"/>
      <c r="AW12" s="59"/>
      <c r="AX12" s="59"/>
      <c r="AY12" s="59"/>
      <c r="AZ12" s="59"/>
      <c r="BE12" s="58"/>
      <c r="BF12" s="58"/>
      <c r="BG12" s="58"/>
    </row>
    <row r="13" spans="2:59" s="52" customFormat="1" ht="20" customHeight="1">
      <c r="B13" s="53"/>
      <c r="C13" s="60" t="s">
        <v>25</v>
      </c>
      <c r="D13" s="72"/>
      <c r="E13" s="73"/>
      <c r="F13" s="52" t="s">
        <v>53</v>
      </c>
      <c r="L13" s="54"/>
      <c r="M13" s="54"/>
      <c r="N13" s="54"/>
      <c r="O13" s="54"/>
      <c r="P13" s="55"/>
      <c r="Q13" s="55"/>
      <c r="R13" s="56"/>
      <c r="S13" s="56"/>
      <c r="T13" s="57"/>
      <c r="U13" s="57"/>
      <c r="V13" s="57"/>
      <c r="W13" s="2"/>
      <c r="X13" s="2"/>
      <c r="Y13" s="2"/>
      <c r="Z13" s="2"/>
      <c r="AA13" s="2"/>
      <c r="AB13" s="54"/>
      <c r="AD13" s="58"/>
      <c r="AE13" s="58"/>
      <c r="AF13" s="58"/>
      <c r="AG13" s="58"/>
      <c r="AH13" s="58"/>
      <c r="AI13" s="58"/>
      <c r="AJ13" s="58"/>
      <c r="AK13" s="58"/>
      <c r="AL13" s="58"/>
      <c r="AV13" s="59"/>
      <c r="AW13" s="59"/>
      <c r="AX13" s="59"/>
      <c r="AY13" s="59"/>
      <c r="AZ13" s="59"/>
      <c r="BE13" s="58"/>
      <c r="BF13" s="58"/>
      <c r="BG13" s="58"/>
    </row>
    <row r="14" spans="2:59" s="52" customFormat="1" ht="20" customHeight="1">
      <c r="B14" s="53"/>
      <c r="C14" s="74" t="s">
        <v>24</v>
      </c>
      <c r="D14" s="75"/>
      <c r="F14" s="52" t="s">
        <v>54</v>
      </c>
      <c r="L14" s="54"/>
      <c r="M14" s="54"/>
      <c r="N14" s="54"/>
      <c r="O14" s="54"/>
      <c r="P14" s="55"/>
      <c r="Q14" s="55"/>
      <c r="R14" s="56"/>
      <c r="S14" s="56"/>
      <c r="T14" s="57"/>
      <c r="U14" s="57"/>
      <c r="V14" s="57"/>
      <c r="W14" s="2"/>
      <c r="X14" s="2"/>
      <c r="Y14" s="2"/>
      <c r="Z14" s="2"/>
      <c r="AA14" s="2"/>
      <c r="AB14" s="54"/>
      <c r="AD14" s="58"/>
      <c r="AE14" s="58"/>
      <c r="AF14" s="58"/>
      <c r="AG14" s="58"/>
      <c r="AH14" s="58"/>
      <c r="AI14" s="58"/>
      <c r="AJ14" s="58"/>
      <c r="AK14" s="58"/>
      <c r="AL14" s="58"/>
      <c r="AV14" s="59"/>
      <c r="AW14" s="59"/>
      <c r="AX14" s="59"/>
      <c r="AY14" s="59"/>
      <c r="AZ14" s="59"/>
      <c r="BE14" s="58"/>
      <c r="BF14" s="58"/>
      <c r="BG14" s="58"/>
    </row>
    <row r="15" spans="2:59" s="52" customFormat="1" ht="113" customHeight="1">
      <c r="B15" s="53"/>
      <c r="C15" s="74"/>
      <c r="D15" s="75"/>
      <c r="F15" s="224" t="s">
        <v>140</v>
      </c>
      <c r="G15" s="225"/>
      <c r="H15" s="225"/>
      <c r="I15" s="225"/>
      <c r="J15" s="225"/>
      <c r="K15" s="225"/>
      <c r="L15" s="225"/>
      <c r="M15" s="225"/>
      <c r="N15" s="54"/>
      <c r="O15" s="54"/>
      <c r="P15" s="55"/>
      <c r="Q15" s="55"/>
      <c r="R15" s="56"/>
      <c r="S15" s="56"/>
      <c r="T15" s="57"/>
      <c r="U15" s="57"/>
      <c r="V15" s="57"/>
      <c r="W15" s="2"/>
      <c r="X15" s="2"/>
      <c r="Y15" s="2"/>
      <c r="Z15" s="2"/>
      <c r="AA15" s="2"/>
      <c r="AB15" s="54"/>
      <c r="AD15" s="58"/>
      <c r="AE15" s="58"/>
      <c r="AF15" s="58"/>
      <c r="AG15" s="58"/>
      <c r="AH15" s="58"/>
      <c r="AI15" s="58"/>
      <c r="AJ15" s="58"/>
      <c r="AK15" s="58"/>
      <c r="AL15" s="58"/>
      <c r="AV15" s="59"/>
      <c r="AW15" s="59"/>
      <c r="AX15" s="59"/>
      <c r="AY15" s="59"/>
      <c r="AZ15" s="59"/>
      <c r="BE15" s="58"/>
      <c r="BF15" s="58"/>
      <c r="BG15" s="58"/>
    </row>
    <row r="16" spans="2:59" s="52" customFormat="1" ht="21" customHeight="1">
      <c r="B16" s="53"/>
      <c r="C16" s="111"/>
      <c r="D16" s="179" t="s">
        <v>106</v>
      </c>
      <c r="E16" s="170">
        <f>KALKULATOR!B260</f>
        <v>45017</v>
      </c>
      <c r="L16" s="54"/>
      <c r="M16" s="54"/>
      <c r="N16" s="54"/>
      <c r="O16" s="54"/>
      <c r="P16" s="55"/>
      <c r="Q16" s="55"/>
      <c r="R16" s="56"/>
      <c r="S16" s="56"/>
      <c r="T16" s="57"/>
      <c r="U16" s="57"/>
      <c r="V16" s="57"/>
      <c r="W16" s="2"/>
      <c r="X16" s="2"/>
      <c r="Y16" s="2"/>
      <c r="Z16" s="2"/>
      <c r="AA16" s="2"/>
      <c r="AB16" s="54"/>
      <c r="AD16" s="58"/>
      <c r="AE16" s="58"/>
      <c r="AF16" s="58"/>
      <c r="AG16" s="58"/>
      <c r="AH16" s="58"/>
      <c r="AI16" s="58"/>
      <c r="AJ16" s="58"/>
      <c r="AK16" s="58"/>
      <c r="AL16" s="58"/>
      <c r="AV16" s="59"/>
      <c r="AW16" s="59"/>
      <c r="AX16" s="59"/>
      <c r="AY16" s="59"/>
      <c r="AZ16" s="59"/>
      <c r="BE16" s="58"/>
      <c r="BF16" s="58"/>
      <c r="BG16" s="58"/>
    </row>
    <row r="17" spans="2:59" s="52" customFormat="1" ht="60" customHeight="1">
      <c r="B17" s="53"/>
      <c r="C17" s="108"/>
      <c r="D17" s="106"/>
      <c r="E17" s="104" t="s">
        <v>62</v>
      </c>
      <c r="F17" s="104" t="s">
        <v>62</v>
      </c>
      <c r="G17" s="104" t="s">
        <v>70</v>
      </c>
      <c r="H17" s="104" t="s">
        <v>63</v>
      </c>
      <c r="I17" s="104" t="s">
        <v>69</v>
      </c>
      <c r="J17" s="104" t="s">
        <v>68</v>
      </c>
      <c r="K17" s="104" t="s">
        <v>64</v>
      </c>
      <c r="L17" s="104" t="s">
        <v>66</v>
      </c>
      <c r="M17" s="104" t="s">
        <v>65</v>
      </c>
      <c r="N17" s="54"/>
      <c r="O17" s="54"/>
      <c r="P17" s="55"/>
      <c r="Q17" s="55"/>
      <c r="R17" s="56"/>
      <c r="S17" s="56"/>
      <c r="T17" s="57"/>
      <c r="U17" s="57"/>
      <c r="V17" s="57"/>
      <c r="W17" s="2"/>
      <c r="X17" s="2"/>
      <c r="Y17" s="2"/>
      <c r="Z17" s="2"/>
      <c r="AA17" s="2"/>
      <c r="AB17" s="54"/>
      <c r="AD17" s="58"/>
      <c r="AE17" s="58"/>
      <c r="AF17" s="58"/>
      <c r="AG17" s="58"/>
      <c r="AH17" s="58"/>
      <c r="AI17" s="58"/>
      <c r="AJ17" s="58"/>
      <c r="AK17" s="58"/>
      <c r="AL17" s="58"/>
      <c r="AV17" s="59"/>
      <c r="AW17" s="59"/>
      <c r="AX17" s="59"/>
      <c r="AY17" s="59"/>
      <c r="AZ17" s="59"/>
      <c r="BE17" s="58"/>
      <c r="BF17" s="58"/>
      <c r="BG17" s="58"/>
    </row>
    <row r="18" spans="2:59" s="52" customFormat="1" ht="19" customHeight="1">
      <c r="B18" s="53"/>
      <c r="C18" s="108"/>
      <c r="D18" s="107" t="s">
        <v>61</v>
      </c>
      <c r="E18" s="116" t="str">
        <f>E3</f>
        <v>CHF</v>
      </c>
      <c r="F18" s="104" t="s">
        <v>8</v>
      </c>
      <c r="G18" s="116" t="str">
        <f>E3</f>
        <v>CHF</v>
      </c>
      <c r="H18" s="104" t="s">
        <v>8</v>
      </c>
      <c r="I18" s="104" t="s">
        <v>8</v>
      </c>
      <c r="J18" s="104" t="s">
        <v>8</v>
      </c>
      <c r="K18" s="104" t="s">
        <v>8</v>
      </c>
      <c r="L18" s="104" t="s">
        <v>8</v>
      </c>
      <c r="M18" s="104" t="s">
        <v>8</v>
      </c>
      <c r="N18" s="54"/>
      <c r="O18" s="54"/>
      <c r="P18" s="55"/>
      <c r="Q18" s="55"/>
      <c r="R18" s="56"/>
      <c r="S18" s="56"/>
      <c r="T18" s="57"/>
      <c r="U18" s="57"/>
      <c r="V18" s="57"/>
      <c r="W18" s="2"/>
      <c r="X18" s="2"/>
      <c r="Y18" s="2"/>
      <c r="Z18" s="2"/>
      <c r="AA18" s="2"/>
      <c r="AB18" s="54"/>
      <c r="AD18" s="58"/>
      <c r="AE18" s="58"/>
      <c r="AF18" s="58"/>
      <c r="AG18" s="58"/>
      <c r="AH18" s="58"/>
      <c r="AI18" s="58"/>
      <c r="AJ18" s="58"/>
      <c r="AK18" s="58"/>
      <c r="AL18" s="58"/>
      <c r="AV18" s="59"/>
      <c r="AW18" s="59"/>
      <c r="AX18" s="59"/>
      <c r="AY18" s="59"/>
      <c r="AZ18" s="59"/>
      <c r="BE18" s="58"/>
      <c r="BF18" s="58"/>
      <c r="BG18" s="58"/>
    </row>
    <row r="19" spans="2:59" s="52" customFormat="1" ht="20" customHeight="1">
      <c r="B19" s="53"/>
      <c r="C19" s="161"/>
      <c r="D19" s="169" t="s">
        <v>101</v>
      </c>
      <c r="E19" s="162">
        <f>-KALKULATOR!E260</f>
        <v>636.3726161563947</v>
      </c>
      <c r="F19" s="162">
        <f>-KALKULATOR!F260</f>
        <v>3087.365565518446</v>
      </c>
      <c r="G19" s="162">
        <f>IF(E10=AD10,KALKULATOR!N260,KALKULATOR!AD260)</f>
        <v>93938.12170729024</v>
      </c>
      <c r="H19" s="162">
        <f>G19*KALKULATOR!D260</f>
        <v>455741.36109164887</v>
      </c>
      <c r="I19" s="162">
        <f>IF(E10=AD10,-KALKULATOR!F2,KALKULATOR!AH2)</f>
        <v>420089.7353233369</v>
      </c>
      <c r="J19" s="162">
        <f>IF(E10=AD10,-KALKULATOR!F2,KALKULATOR!AH2)</f>
        <v>420089.7353233369</v>
      </c>
      <c r="K19" s="162" t="s">
        <v>58</v>
      </c>
      <c r="L19" s="162" t="s">
        <v>58</v>
      </c>
      <c r="M19" s="162" t="s">
        <v>58</v>
      </c>
      <c r="N19" s="137" t="s">
        <v>84</v>
      </c>
      <c r="O19" s="54"/>
      <c r="P19" s="55"/>
      <c r="Q19" s="55"/>
      <c r="R19" s="56"/>
      <c r="S19" s="56"/>
      <c r="T19" s="57"/>
      <c r="U19" s="57"/>
      <c r="V19" s="57"/>
      <c r="W19" s="2"/>
      <c r="X19" s="2"/>
      <c r="Y19" s="2"/>
      <c r="Z19" s="2"/>
      <c r="AA19" s="2"/>
      <c r="AB19" s="54"/>
      <c r="AD19" s="58"/>
      <c r="AE19" s="58"/>
      <c r="AF19" s="58"/>
      <c r="AG19" s="58"/>
      <c r="AH19" s="58"/>
      <c r="AI19" s="58"/>
      <c r="AJ19" s="58"/>
      <c r="AK19" s="58"/>
      <c r="AL19" s="58"/>
      <c r="AV19" s="59"/>
      <c r="AW19" s="59"/>
      <c r="AX19" s="59"/>
      <c r="AY19" s="59"/>
      <c r="AZ19" s="59"/>
      <c r="BE19" s="58"/>
      <c r="BF19" s="58"/>
      <c r="BG19" s="58"/>
    </row>
    <row r="20" spans="2:59" s="52" customFormat="1" ht="20" customHeight="1">
      <c r="B20" s="53"/>
      <c r="C20" s="166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37"/>
      <c r="O20" s="54"/>
      <c r="P20" s="55"/>
      <c r="Q20" s="55"/>
      <c r="R20" s="56"/>
      <c r="S20" s="56"/>
      <c r="T20" s="57"/>
      <c r="U20" s="57"/>
      <c r="V20" s="57"/>
      <c r="W20" s="2"/>
      <c r="X20" s="2"/>
      <c r="Y20" s="2"/>
      <c r="Z20" s="2"/>
      <c r="AA20" s="2"/>
      <c r="AB20" s="54"/>
      <c r="AD20" s="58"/>
      <c r="AE20" s="58"/>
      <c r="AF20" s="58"/>
      <c r="AG20" s="58"/>
      <c r="AH20" s="58"/>
      <c r="AI20" s="58"/>
      <c r="AJ20" s="58"/>
      <c r="AK20" s="58"/>
      <c r="AL20" s="58"/>
      <c r="AV20" s="59"/>
      <c r="AW20" s="59"/>
      <c r="AX20" s="59"/>
      <c r="AY20" s="59"/>
      <c r="AZ20" s="59"/>
      <c r="BE20" s="58"/>
      <c r="BF20" s="58"/>
      <c r="BG20" s="58"/>
    </row>
    <row r="21" spans="2:59" s="52" customFormat="1" ht="20" customHeight="1">
      <c r="B21" s="53"/>
      <c r="C21" s="163"/>
      <c r="D21" s="164" t="s">
        <v>57</v>
      </c>
      <c r="E21" s="165" t="s">
        <v>58</v>
      </c>
      <c r="F21" s="165">
        <f>IF(E10=AD10,-KALKULATOR!U260,KALKULATOR!AL260)</f>
        <v>1403.5745329779181</v>
      </c>
      <c r="G21" s="165" t="s">
        <v>58</v>
      </c>
      <c r="H21" s="165">
        <f>IF(E10=AD10,KALKULATOR!O260,KALKULATOR!AI260)</f>
        <v>207188.60610389546</v>
      </c>
      <c r="I21" s="165">
        <f>IF(E10=AD10,-KALKULATOR!U2,KALKULATOR!AL2)</f>
        <v>255641.33672729315</v>
      </c>
      <c r="J21" s="165">
        <f>J19</f>
        <v>420089.7353233369</v>
      </c>
      <c r="K21" s="165">
        <f>IF(E10=AD10,KALKULATOR!H2,KALKULATOR!AM2)</f>
        <v>164448.39859604416</v>
      </c>
      <c r="L21" s="165">
        <f>H19-H21</f>
        <v>248552.7549877534</v>
      </c>
      <c r="M21" s="165">
        <f>L21+K21</f>
        <v>413001.15358379757</v>
      </c>
      <c r="N21" s="103" t="s">
        <v>60</v>
      </c>
      <c r="O21" s="54"/>
      <c r="P21" s="55"/>
      <c r="Q21" s="55"/>
      <c r="R21" s="56"/>
      <c r="S21" s="56"/>
      <c r="T21" s="57"/>
      <c r="U21" s="57"/>
      <c r="V21" s="57"/>
      <c r="W21" s="2"/>
      <c r="X21" s="2"/>
      <c r="Y21" s="2"/>
      <c r="Z21" s="2"/>
      <c r="AA21" s="2"/>
      <c r="AB21" s="54"/>
      <c r="AD21" s="58"/>
      <c r="AE21" s="58"/>
      <c r="AF21" s="58"/>
      <c r="AG21" s="58"/>
      <c r="AH21" s="58"/>
      <c r="AI21" s="58"/>
      <c r="AJ21" s="58"/>
      <c r="AK21" s="58"/>
      <c r="AL21" s="58"/>
      <c r="AV21" s="59"/>
      <c r="AW21" s="59"/>
      <c r="AX21" s="59"/>
      <c r="AY21" s="59"/>
      <c r="AZ21" s="59"/>
      <c r="BE21" s="58"/>
      <c r="BF21" s="58"/>
      <c r="BG21" s="58"/>
    </row>
    <row r="22" spans="2:59" s="52" customFormat="1" ht="20" customHeight="1">
      <c r="B22" s="53"/>
      <c r="C22" s="108"/>
      <c r="D22" s="106" t="s">
        <v>59</v>
      </c>
      <c r="E22" s="105" t="s">
        <v>58</v>
      </c>
      <c r="F22" s="105" t="s">
        <v>58</v>
      </c>
      <c r="G22" s="105" t="s">
        <v>58</v>
      </c>
      <c r="H22" s="105">
        <f>E2+KALKULATOR!R2-KALKULATOR!S2</f>
        <v>400000</v>
      </c>
      <c r="I22" s="105" t="s">
        <v>58</v>
      </c>
      <c r="J22" s="105">
        <f>J19</f>
        <v>420089.7353233369</v>
      </c>
      <c r="K22" s="105">
        <f>J22-H22</f>
        <v>20089.735323336907</v>
      </c>
      <c r="L22" s="105">
        <f>H19</f>
        <v>455741.36109164887</v>
      </c>
      <c r="M22" s="105">
        <f>L22+K22</f>
        <v>475831.0964149858</v>
      </c>
      <c r="N22" s="137" t="s">
        <v>85</v>
      </c>
      <c r="O22" s="54"/>
      <c r="P22" s="55"/>
      <c r="Q22" s="55"/>
      <c r="R22" s="56"/>
      <c r="S22" s="56"/>
      <c r="T22" s="57"/>
      <c r="U22" s="57"/>
      <c r="V22" s="57"/>
      <c r="W22" s="2"/>
      <c r="X22" s="2"/>
      <c r="Y22" s="2"/>
      <c r="Z22" s="2"/>
      <c r="AA22" s="2"/>
      <c r="AB22" s="54"/>
      <c r="AD22" s="58"/>
      <c r="AE22" s="58"/>
      <c r="AF22" s="58"/>
      <c r="AG22" s="58"/>
      <c r="AH22" s="58"/>
      <c r="AI22" s="58"/>
      <c r="AJ22" s="58"/>
      <c r="AK22" s="58"/>
      <c r="AL22" s="58"/>
      <c r="AV22" s="59"/>
      <c r="AW22" s="59"/>
      <c r="AX22" s="59"/>
      <c r="AY22" s="59"/>
      <c r="AZ22" s="59"/>
      <c r="BE22" s="58"/>
      <c r="BF22" s="58"/>
      <c r="BG22" s="58"/>
    </row>
    <row r="23" spans="2:59" s="52" customFormat="1" ht="20" customHeight="1">
      <c r="B23" s="53"/>
      <c r="C23" s="109"/>
      <c r="D23" s="147" t="s">
        <v>99</v>
      </c>
      <c r="E23" s="110" t="s">
        <v>58</v>
      </c>
      <c r="F23" s="110">
        <f>IF(E10=AD10,-KALKULATOR!BG260,-KALKULATOR!BL260)</f>
        <v>2473.309461013074</v>
      </c>
      <c r="G23" s="110" t="s">
        <v>58</v>
      </c>
      <c r="H23" s="110">
        <f>IF(E10=AD10,KALKULATOR!BD260,KALKULATOR!BI260)</f>
        <v>251216.1042970942</v>
      </c>
      <c r="I23" s="110">
        <f>IF(E10=AD10,-KALKULATOR!BG2,-KALKULATOR!BL2)</f>
        <v>387802.99970323534</v>
      </c>
      <c r="J23" s="110">
        <f>J22</f>
        <v>420089.7353233369</v>
      </c>
      <c r="K23" s="110">
        <f>J23-I23</f>
        <v>32286.735620101565</v>
      </c>
      <c r="L23" s="110">
        <f>H19-H23</f>
        <v>204525.25679455468</v>
      </c>
      <c r="M23" s="110">
        <f>L23+K23</f>
        <v>236811.99241465624</v>
      </c>
      <c r="N23" s="103" t="s">
        <v>67</v>
      </c>
      <c r="O23" s="54"/>
      <c r="P23" s="55"/>
      <c r="Q23" s="55"/>
      <c r="R23" s="56"/>
      <c r="S23" s="56"/>
      <c r="T23" s="57"/>
      <c r="U23" s="57"/>
      <c r="V23" s="57"/>
      <c r="W23" s="2"/>
      <c r="X23" s="2"/>
      <c r="Y23" s="2"/>
      <c r="Z23" s="2"/>
      <c r="AA23" s="2"/>
      <c r="AB23" s="54"/>
      <c r="AD23" s="58"/>
      <c r="AE23" s="58"/>
      <c r="AF23" s="58"/>
      <c r="AG23" s="58"/>
      <c r="AH23" s="58"/>
      <c r="AI23" s="58"/>
      <c r="AJ23" s="58"/>
      <c r="AK23" s="58"/>
      <c r="AL23" s="58"/>
      <c r="AV23" s="59"/>
      <c r="AW23" s="59"/>
      <c r="AX23" s="59"/>
      <c r="AY23" s="59"/>
      <c r="AZ23" s="59"/>
      <c r="BE23" s="58"/>
      <c r="BF23" s="58"/>
      <c r="BG23" s="58"/>
    </row>
    <row r="24" s="4" customFormat="1" ht="15.75">
      <c r="D24" s="146"/>
    </row>
    <row r="25" spans="3:14" s="4" customFormat="1" ht="15.75">
      <c r="C25" s="153"/>
      <c r="D25" s="171" t="s">
        <v>104</v>
      </c>
      <c r="E25" s="154" t="s">
        <v>58</v>
      </c>
      <c r="F25" s="173">
        <f>IF(E10=AD10,-KALKULATOR!BR260,-KALKULATOR!BX260)</f>
        <v>2263.868907752359</v>
      </c>
      <c r="G25" s="154" t="s">
        <v>58</v>
      </c>
      <c r="H25" s="173">
        <f>IF(E10=AD10,KALKULATOR!BO260,KALKULATOR!BU260)</f>
        <v>229809.35437142066</v>
      </c>
      <c r="I25" s="155">
        <f>IF(E10=AD10,-KALKULATOR!BR2,-KALKULATOR!BX2)</f>
        <v>403227.12783050933</v>
      </c>
      <c r="J25" s="173">
        <f>J19</f>
        <v>420089.7353233369</v>
      </c>
      <c r="K25" s="154" t="s">
        <v>58</v>
      </c>
      <c r="L25" s="173">
        <f>H19-H25</f>
        <v>225932.0067202282</v>
      </c>
      <c r="M25" s="156">
        <f>L25</f>
        <v>225932.0067202282</v>
      </c>
      <c r="N25" s="4" t="s">
        <v>103</v>
      </c>
    </row>
    <row r="26" spans="3:13" s="4" customFormat="1" ht="15.75">
      <c r="C26" s="157"/>
      <c r="D26" s="172" t="s">
        <v>100</v>
      </c>
      <c r="E26" s="158">
        <f>VLOOKUP(Podsumowanie!E7,Marza,2)</f>
        <v>0.0121</v>
      </c>
      <c r="F26" s="174"/>
      <c r="G26" s="159"/>
      <c r="H26" s="174"/>
      <c r="I26" s="159"/>
      <c r="J26" s="174"/>
      <c r="K26" s="159"/>
      <c r="L26" s="174"/>
      <c r="M26" s="160"/>
    </row>
    <row r="27" spans="3:13" s="4" customFormat="1" ht="15.75">
      <c r="C27" s="201"/>
      <c r="D27" s="202"/>
      <c r="E27" s="203"/>
      <c r="F27" s="201"/>
      <c r="G27" s="201"/>
      <c r="H27" s="201"/>
      <c r="I27" s="201"/>
      <c r="J27" s="201"/>
      <c r="K27" s="201"/>
      <c r="L27" s="201"/>
      <c r="M27" s="201"/>
    </row>
    <row r="28" spans="3:13" s="4" customFormat="1" ht="119">
      <c r="C28" s="199"/>
      <c r="D28" s="204" t="s">
        <v>129</v>
      </c>
      <c r="E28" s="200"/>
      <c r="F28" s="199"/>
      <c r="G28" s="206" t="s">
        <v>120</v>
      </c>
      <c r="H28" s="206" t="s">
        <v>121</v>
      </c>
      <c r="I28" s="210" t="s">
        <v>122</v>
      </c>
      <c r="J28" s="210" t="s">
        <v>124</v>
      </c>
      <c r="K28" s="210" t="s">
        <v>125</v>
      </c>
      <c r="L28" s="206" t="s">
        <v>66</v>
      </c>
      <c r="M28" s="206" t="s">
        <v>65</v>
      </c>
    </row>
    <row r="29" spans="3:14" s="4" customFormat="1" ht="15.75">
      <c r="C29" s="199"/>
      <c r="D29" s="204"/>
      <c r="E29" s="200"/>
      <c r="F29" s="199"/>
      <c r="G29" s="213">
        <f>G19</f>
        <v>93938.12170729024</v>
      </c>
      <c r="H29" s="213">
        <f>H19</f>
        <v>455741.36109164887</v>
      </c>
      <c r="I29" s="213">
        <f>ROUND((H29+H25)/2,2)</f>
        <v>342775.36</v>
      </c>
      <c r="J29" s="214">
        <f>-PMT(J30/12,E8-KALKULATOR!K260,I29)</f>
        <v>2816.309538927211</v>
      </c>
      <c r="K29" s="214">
        <f>-PMT(K30/12,E8-KALKULATOR!K260,I29)</f>
        <v>3395.8355333902273</v>
      </c>
      <c r="L29" s="213">
        <f>H29-I29</f>
        <v>112966.00109164888</v>
      </c>
      <c r="M29" s="213">
        <f>L29</f>
        <v>112966.00109164888</v>
      </c>
      <c r="N29" s="4" t="s">
        <v>137</v>
      </c>
    </row>
    <row r="30" spans="3:13" s="4" customFormat="1" ht="15.75">
      <c r="C30" s="199"/>
      <c r="D30" s="204"/>
      <c r="E30" s="200"/>
      <c r="F30" s="199"/>
      <c r="G30" s="205"/>
      <c r="H30" s="205"/>
      <c r="I30" s="208" t="s">
        <v>123</v>
      </c>
      <c r="J30" s="207">
        <v>0.0499</v>
      </c>
      <c r="K30" s="207">
        <f>KALKULATOR!BB260+E6</f>
        <v>0.081</v>
      </c>
      <c r="L30" s="205"/>
      <c r="M30" s="205"/>
    </row>
    <row r="31" s="4" customFormat="1" ht="15.75"/>
    <row r="32" spans="3:13" s="4" customFormat="1" ht="63" customHeight="1">
      <c r="C32" s="153"/>
      <c r="D32" s="171" t="s">
        <v>105</v>
      </c>
      <c r="E32" s="210" t="s">
        <v>112</v>
      </c>
      <c r="F32" s="210" t="s">
        <v>126</v>
      </c>
      <c r="G32" s="210" t="s">
        <v>127</v>
      </c>
      <c r="H32" s="210" t="s">
        <v>110</v>
      </c>
      <c r="I32" s="210" t="s">
        <v>111</v>
      </c>
      <c r="J32" s="210" t="s">
        <v>109</v>
      </c>
      <c r="K32" s="210" t="s">
        <v>128</v>
      </c>
      <c r="L32" s="206" t="s">
        <v>66</v>
      </c>
      <c r="M32" s="206" t="s">
        <v>65</v>
      </c>
    </row>
    <row r="33" spans="3:15" s="4" customFormat="1" ht="25" customHeight="1" thickBot="1">
      <c r="C33" s="226" t="s">
        <v>107</v>
      </c>
      <c r="D33" s="227"/>
      <c r="E33" s="181">
        <v>3.1</v>
      </c>
      <c r="F33" s="182">
        <f>ROUND(G19*E33,2)</f>
        <v>291208.18</v>
      </c>
      <c r="G33" s="183">
        <f>H19-F33</f>
        <v>164533.18109164888</v>
      </c>
      <c r="H33" s="184">
        <f>E8-KALKULATOR!K260</f>
        <v>170</v>
      </c>
      <c r="I33" s="185">
        <v>0.011</v>
      </c>
      <c r="J33" s="186">
        <f>KALKULATOR!BB260</f>
        <v>0.069</v>
      </c>
      <c r="K33" s="209">
        <f>-PMT((J33+I33)/12,$H33,F33)</f>
        <v>2868.359932474313</v>
      </c>
      <c r="L33" s="10">
        <f>G33</f>
        <v>164533.18109164888</v>
      </c>
      <c r="M33" s="10">
        <f>L33</f>
        <v>164533.18109164888</v>
      </c>
      <c r="N33" s="176"/>
      <c r="O33" s="176"/>
    </row>
    <row r="34" spans="3:15" s="4" customFormat="1" ht="37" customHeight="1">
      <c r="C34" s="228" t="s">
        <v>113</v>
      </c>
      <c r="D34" s="229"/>
      <c r="E34" s="187"/>
      <c r="F34" s="182">
        <f>ROUND(F33+G33/2,2)</f>
        <v>373474.77</v>
      </c>
      <c r="G34" s="183">
        <f>H19-F34</f>
        <v>82266.59109164885</v>
      </c>
      <c r="H34" s="188">
        <f>H33</f>
        <v>170</v>
      </c>
      <c r="I34" s="185">
        <v>0.011</v>
      </c>
      <c r="J34" s="189">
        <f>J33</f>
        <v>0.069</v>
      </c>
      <c r="K34" s="209">
        <f aca="true" t="shared" si="0" ref="K34:K35">-PMT((J34+I34)/12,$H34,F34)</f>
        <v>3678.6743629868492</v>
      </c>
      <c r="L34" s="10">
        <f>G34</f>
        <v>82266.59109164885</v>
      </c>
      <c r="M34" s="10">
        <f>L34*2</f>
        <v>164533.1821832977</v>
      </c>
      <c r="N34" s="175"/>
      <c r="O34" s="175"/>
    </row>
    <row r="35" spans="3:15" s="4" customFormat="1" ht="17" thickBot="1">
      <c r="C35" s="230" t="s">
        <v>108</v>
      </c>
      <c r="D35" s="231"/>
      <c r="E35" s="187"/>
      <c r="F35" s="182">
        <f>H23</f>
        <v>251216.1042970942</v>
      </c>
      <c r="G35" s="183">
        <f>H19-F35</f>
        <v>204525.25679455468</v>
      </c>
      <c r="H35" s="188">
        <f>H34</f>
        <v>170</v>
      </c>
      <c r="I35" s="190">
        <v>0.013</v>
      </c>
      <c r="J35" s="189">
        <f>J34</f>
        <v>0.069</v>
      </c>
      <c r="K35" s="209">
        <f t="shared" si="0"/>
        <v>2503.1367534457972</v>
      </c>
      <c r="L35" s="10">
        <f>G35</f>
        <v>204525.25679455468</v>
      </c>
      <c r="M35" s="10">
        <f>L35</f>
        <v>204525.25679455468</v>
      </c>
      <c r="N35" s="175"/>
      <c r="O35" s="175"/>
    </row>
    <row r="36" spans="6:15" s="4" customFormat="1" ht="15.75">
      <c r="F36" s="177"/>
      <c r="G36" s="177"/>
      <c r="I36" s="10"/>
      <c r="K36" s="175"/>
      <c r="L36" s="175"/>
      <c r="M36" s="175"/>
      <c r="N36" s="175"/>
      <c r="O36" s="175"/>
    </row>
    <row r="37" spans="3:13" s="4" customFormat="1" ht="119">
      <c r="C37" s="211"/>
      <c r="D37" s="212" t="s">
        <v>139</v>
      </c>
      <c r="E37" s="211"/>
      <c r="F37" s="215" t="s">
        <v>121</v>
      </c>
      <c r="G37" s="215" t="s">
        <v>130</v>
      </c>
      <c r="H37" s="215" t="s">
        <v>133</v>
      </c>
      <c r="I37" s="215" t="s">
        <v>134</v>
      </c>
      <c r="J37" s="215" t="s">
        <v>132</v>
      </c>
      <c r="K37" s="215" t="s">
        <v>131</v>
      </c>
      <c r="L37" s="215" t="s">
        <v>135</v>
      </c>
      <c r="M37" s="215" t="s">
        <v>136</v>
      </c>
    </row>
    <row r="38" spans="3:15" s="4" customFormat="1" ht="15.75">
      <c r="C38" s="211"/>
      <c r="D38" s="211"/>
      <c r="E38" s="211"/>
      <c r="F38" s="216">
        <f>H19</f>
        <v>455741.36109164887</v>
      </c>
      <c r="G38" s="216">
        <f>J19</f>
        <v>420089.7353233369</v>
      </c>
      <c r="H38" s="217">
        <f>H22</f>
        <v>400000</v>
      </c>
      <c r="I38" s="217">
        <f>KALKULATOR!CB2</f>
        <v>212447.5427921023</v>
      </c>
      <c r="J38" s="217">
        <f>I38+H38</f>
        <v>612447.5427921023</v>
      </c>
      <c r="K38" s="218">
        <f>J38-G38</f>
        <v>192357.80746876542</v>
      </c>
      <c r="L38" s="218">
        <f>F38-K38</f>
        <v>263383.55362288345</v>
      </c>
      <c r="M38" s="218">
        <f>L38</f>
        <v>263383.55362288345</v>
      </c>
      <c r="N38" s="175" t="s">
        <v>138</v>
      </c>
      <c r="O38" s="175"/>
    </row>
    <row r="39" spans="4:10" s="4" customFormat="1" ht="15.75">
      <c r="D39" s="198"/>
      <c r="H39" s="198"/>
      <c r="I39" s="146"/>
      <c r="J39" s="10"/>
    </row>
    <row r="40" spans="3:13" s="4" customFormat="1" ht="68">
      <c r="C40" s="211"/>
      <c r="D40" s="220" t="s">
        <v>157</v>
      </c>
      <c r="E40" s="221"/>
      <c r="F40" s="215" t="s">
        <v>155</v>
      </c>
      <c r="G40" s="215" t="s">
        <v>154</v>
      </c>
      <c r="H40" s="215" t="s">
        <v>159</v>
      </c>
      <c r="I40" s="215" t="s">
        <v>160</v>
      </c>
      <c r="J40" s="222" t="s">
        <v>156</v>
      </c>
      <c r="K40" s="211"/>
      <c r="L40" s="211"/>
      <c r="M40" s="211"/>
    </row>
    <row r="41" spans="3:13" s="4" customFormat="1" ht="15.75">
      <c r="C41" s="211"/>
      <c r="D41" s="211"/>
      <c r="E41" s="211" t="s">
        <v>149</v>
      </c>
      <c r="F41" s="217">
        <f>E2</f>
        <v>400000</v>
      </c>
      <c r="G41" s="217">
        <f>KALKULATOR!R2</f>
        <v>0</v>
      </c>
      <c r="H41" s="217">
        <f>G41+F41</f>
        <v>400000</v>
      </c>
      <c r="I41" s="216">
        <f>-KALKULATOR!F2+KALKULATOR!S2</f>
        <v>420089.7353233369</v>
      </c>
      <c r="J41" s="217">
        <f>I41-H41</f>
        <v>20089.735323336907</v>
      </c>
      <c r="K41" s="211" t="s">
        <v>153</v>
      </c>
      <c r="L41" s="211"/>
      <c r="M41" s="211"/>
    </row>
    <row r="42" spans="3:13" s="4" customFormat="1" ht="15.75">
      <c r="C42" s="211"/>
      <c r="D42" s="211"/>
      <c r="E42" s="211" t="s">
        <v>150</v>
      </c>
      <c r="F42" s="217">
        <f>KALKULATOR!CH4</f>
        <v>307640</v>
      </c>
      <c r="G42" s="217">
        <f>KALKULATOR!CH2-KALKULATOR!CH4</f>
        <v>0</v>
      </c>
      <c r="H42" s="217">
        <f>G42+F42</f>
        <v>307640</v>
      </c>
      <c r="I42" s="217">
        <f>-KALKULATOR!CG2</f>
        <v>182608.24999999988</v>
      </c>
      <c r="J42" s="217">
        <f>I42-H42</f>
        <v>-125031.75000000012</v>
      </c>
      <c r="K42" s="211" t="s">
        <v>162</v>
      </c>
      <c r="L42" s="211"/>
      <c r="M42" s="211"/>
    </row>
    <row r="43" spans="3:13" s="4" customFormat="1" ht="15.75">
      <c r="C43" s="211"/>
      <c r="D43" s="211"/>
      <c r="E43" s="211" t="s">
        <v>151</v>
      </c>
      <c r="F43" s="217">
        <f>F42+F41</f>
        <v>707640</v>
      </c>
      <c r="G43" s="217">
        <f>G42+G41</f>
        <v>0</v>
      </c>
      <c r="H43" s="217">
        <f>H42+H41</f>
        <v>707640</v>
      </c>
      <c r="I43" s="217">
        <f>I42+I41</f>
        <v>602697.9853233368</v>
      </c>
      <c r="J43" s="217">
        <f>I43-H43</f>
        <v>-104942.01467666321</v>
      </c>
      <c r="K43" s="211" t="s">
        <v>152</v>
      </c>
      <c r="L43" s="211"/>
      <c r="M43" s="211"/>
    </row>
    <row r="44" spans="3:13" s="4" customFormat="1" ht="15.75"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</row>
    <row r="45" spans="3:13" s="4" customFormat="1" ht="15.75">
      <c r="C45" s="211"/>
      <c r="D45" s="211" t="s">
        <v>161</v>
      </c>
      <c r="E45" s="211"/>
      <c r="F45" s="211"/>
      <c r="G45" s="211"/>
      <c r="H45" s="211"/>
      <c r="I45" s="211"/>
      <c r="J45" s="211"/>
      <c r="K45" s="211"/>
      <c r="L45" s="211"/>
      <c r="M45" s="211"/>
    </row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</sheetData>
  <sheetProtection algorithmName="SHA-512" hashValue="baeKY8d301mJ8jtwTV0/WGGeM4BX08VoDuaAW/IQuju5K30LEFDzRo4mIvuMKr1kugtmJr0aac750YHVdI+YWA==" saltValue="+iBPk0XZho4lHvHzHGCvBw==" spinCount="100000" sheet="1" selectLockedCells="1"/>
  <mergeCells count="4">
    <mergeCell ref="F15:M15"/>
    <mergeCell ref="C33:D33"/>
    <mergeCell ref="C34:D34"/>
    <mergeCell ref="C35:D35"/>
  </mergeCells>
  <dataValidations count="8">
    <dataValidation type="date" allowBlank="1" showInputMessage="1" showErrorMessage="1" sqref="E12">
      <formula1>37257</formula1>
      <formula2>46022</formula2>
    </dataValidation>
    <dataValidation type="whole" allowBlank="1" showInputMessage="1" showErrorMessage="1" sqref="E9">
      <formula1>0</formula1>
      <formula2>600</formula2>
    </dataValidation>
    <dataValidation type="whole" allowBlank="1" showInputMessage="1" showErrorMessage="1" sqref="E8">
      <formula1>1</formula1>
      <formula2>600</formula2>
    </dataValidation>
    <dataValidation type="date" allowBlank="1" showInputMessage="1" showErrorMessage="1" sqref="E7">
      <formula1>37257</formula1>
      <formula2>44196</formula2>
    </dataValidation>
    <dataValidation type="decimal" allowBlank="1" showInputMessage="1" showErrorMessage="1" sqref="E6 E11">
      <formula1>0</formula1>
      <formula2>100</formula2>
    </dataValidation>
    <dataValidation type="decimal" allowBlank="1" showInputMessage="1" showErrorMessage="1" sqref="E2 E4">
      <formula1>0</formula1>
      <formula2>10000000</formula2>
    </dataValidation>
    <dataValidation type="list" allowBlank="1" showInputMessage="1" showErrorMessage="1" sqref="E10">
      <formula1>$AD$10:$AD$11</formula1>
    </dataValidation>
    <dataValidation type="list" allowBlank="1" showInputMessage="1" showErrorMessage="1" sqref="E3">
      <formula1>Dane!$N$2:$N$4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260"/>
  <sheetViews>
    <sheetView workbookViewId="0" topLeftCell="A1">
      <pane xSplit="2" ySplit="4" topLeftCell="G248" activePane="bottomRight" state="frozen"/>
      <selection pane="topRight" activeCell="C1" sqref="C1"/>
      <selection pane="bottomLeft" activeCell="A5" sqref="A5"/>
      <selection pane="bottomRight" activeCell="I265" sqref="I265"/>
    </sheetView>
  </sheetViews>
  <sheetFormatPr defaultColWidth="8.875" defaultRowHeight="15.75"/>
  <cols>
    <col min="1" max="1" width="8.125" style="4" customWidth="1"/>
    <col min="2" max="2" width="9.00390625" style="5" customWidth="1"/>
    <col min="3" max="3" width="21.375" style="4" customWidth="1"/>
    <col min="4" max="4" width="31.125" style="4" customWidth="1"/>
    <col min="5" max="5" width="17.50390625" style="4" customWidth="1"/>
    <col min="6" max="6" width="17.875" style="4" customWidth="1"/>
    <col min="7" max="7" width="14.625" style="4" customWidth="1"/>
    <col min="8" max="8" width="13.625" style="4" customWidth="1"/>
    <col min="9" max="9" width="13.50390625" style="4" customWidth="1"/>
    <col min="10" max="10" width="14.625" style="4" customWidth="1"/>
    <col min="11" max="11" width="14.125" style="4" customWidth="1"/>
    <col min="12" max="12" width="26.375" style="1" customWidth="1"/>
    <col min="13" max="13" width="16.625" style="1" customWidth="1"/>
    <col min="14" max="15" width="14.125" style="1" customWidth="1"/>
    <col min="16" max="16" width="14.125" style="48" customWidth="1"/>
    <col min="17" max="17" width="10.875" style="48" customWidth="1"/>
    <col min="18" max="19" width="14.125" style="49" customWidth="1"/>
    <col min="20" max="22" width="14.125" style="50" customWidth="1"/>
    <col min="23" max="24" width="14.125" style="51" customWidth="1"/>
    <col min="25" max="25" width="15.50390625" style="51" customWidth="1"/>
    <col min="26" max="26" width="15.00390625" style="51" customWidth="1"/>
    <col min="27" max="27" width="14.375" style="51" customWidth="1"/>
    <col min="28" max="28" width="8.00390625" style="1" customWidth="1"/>
    <col min="29" max="29" width="8.875" style="4" customWidth="1"/>
    <col min="30" max="30" width="10.375" style="10" customWidth="1"/>
    <col min="31" max="31" width="9.50390625" style="10" customWidth="1"/>
    <col min="32" max="32" width="9.00390625" style="10" customWidth="1"/>
    <col min="33" max="33" width="11.125" style="10" customWidth="1"/>
    <col min="34" max="34" width="14.375" style="10" customWidth="1"/>
    <col min="35" max="35" width="10.375" style="10" customWidth="1"/>
    <col min="36" max="38" width="9.00390625" style="10" customWidth="1"/>
    <col min="39" max="39" width="11.50390625" style="4" customWidth="1"/>
    <col min="40" max="40" width="8.875" style="4" customWidth="1"/>
    <col min="41" max="41" width="12.00390625" style="4" customWidth="1"/>
    <col min="42" max="43" width="10.125" style="4" customWidth="1"/>
    <col min="44" max="44" width="13.00390625" style="4" customWidth="1"/>
    <col min="45" max="45" width="10.125" style="4" customWidth="1"/>
    <col min="46" max="46" width="11.375" style="4" customWidth="1"/>
    <col min="47" max="47" width="8.875" style="4" customWidth="1"/>
    <col min="48" max="48" width="10.375" style="11" customWidth="1"/>
    <col min="49" max="52" width="10.875" style="11" customWidth="1"/>
    <col min="53" max="55" width="8.875" style="4" customWidth="1"/>
    <col min="56" max="56" width="10.375" style="4" customWidth="1"/>
    <col min="57" max="57" width="11.50390625" style="10" customWidth="1"/>
    <col min="58" max="58" width="10.625" style="10" customWidth="1"/>
    <col min="59" max="59" width="10.50390625" style="10" customWidth="1"/>
    <col min="60" max="61" width="8.875" style="4" customWidth="1"/>
    <col min="62" max="64" width="10.875" style="4" bestFit="1" customWidth="1"/>
    <col min="65" max="66" width="8.875" style="4" customWidth="1"/>
    <col min="67" max="67" width="11.50390625" style="4" customWidth="1"/>
    <col min="68" max="68" width="12.125" style="4" customWidth="1"/>
    <col min="69" max="69" width="12.375" style="4" customWidth="1"/>
    <col min="70" max="70" width="11.875" style="4" customWidth="1"/>
    <col min="71" max="73" width="8.875" style="4" customWidth="1"/>
    <col min="74" max="74" width="11.375" style="4" customWidth="1"/>
    <col min="75" max="75" width="12.00390625" style="4" customWidth="1"/>
    <col min="76" max="76" width="11.875" style="4" customWidth="1"/>
    <col min="77" max="78" width="8.875" style="4" customWidth="1"/>
    <col min="79" max="79" width="12.00390625" style="10" customWidth="1"/>
    <col min="80" max="80" width="11.125" style="10" customWidth="1"/>
    <col min="81" max="81" width="11.50390625" style="10" customWidth="1"/>
    <col min="82" max="82" width="12.00390625" style="10" customWidth="1"/>
    <col min="83" max="83" width="8.875" style="4" customWidth="1"/>
    <col min="84" max="84" width="14.875" style="4" customWidth="1"/>
    <col min="85" max="85" width="12.50390625" style="4" customWidth="1"/>
    <col min="86" max="86" width="12.625" style="4" customWidth="1"/>
    <col min="87" max="16384" width="8.875" style="4" customWidth="1"/>
  </cols>
  <sheetData>
    <row r="1" spans="2:84" s="52" customFormat="1" ht="24" customHeight="1">
      <c r="B1" s="53"/>
      <c r="C1" s="74"/>
      <c r="D1" s="75"/>
      <c r="E1" s="76" t="s">
        <v>36</v>
      </c>
      <c r="G1" s="76" t="s">
        <v>71</v>
      </c>
      <c r="L1" s="54"/>
      <c r="M1" s="54"/>
      <c r="N1" s="2"/>
      <c r="O1" s="54"/>
      <c r="P1" s="55"/>
      <c r="Q1" s="55"/>
      <c r="R1" s="56"/>
      <c r="S1" s="56"/>
      <c r="T1" s="57"/>
      <c r="U1" s="57"/>
      <c r="V1" s="57"/>
      <c r="W1" s="2"/>
      <c r="X1" s="2"/>
      <c r="Y1" s="2"/>
      <c r="Z1" s="2"/>
      <c r="AA1" s="2"/>
      <c r="AB1" s="54"/>
      <c r="AD1" s="76" t="s">
        <v>29</v>
      </c>
      <c r="AE1" s="58"/>
      <c r="AF1" s="58"/>
      <c r="AG1" s="58"/>
      <c r="AH1" s="58"/>
      <c r="AI1" s="58"/>
      <c r="AJ1" s="58"/>
      <c r="AK1" s="58"/>
      <c r="AL1" s="58"/>
      <c r="AO1" s="74" t="s">
        <v>32</v>
      </c>
      <c r="AV1" s="59"/>
      <c r="AW1" s="59"/>
      <c r="AX1" s="59"/>
      <c r="AY1" s="59"/>
      <c r="AZ1" s="59"/>
      <c r="BB1" s="74" t="s">
        <v>31</v>
      </c>
      <c r="BE1" s="58"/>
      <c r="BF1" s="58"/>
      <c r="BG1" s="58"/>
      <c r="BN1" s="139" t="s">
        <v>93</v>
      </c>
      <c r="CA1" s="3" t="s">
        <v>117</v>
      </c>
      <c r="CB1" s="58"/>
      <c r="CC1" s="58"/>
      <c r="CD1" s="58"/>
      <c r="CF1" s="74" t="s">
        <v>148</v>
      </c>
    </row>
    <row r="2" spans="3:86" ht="15.75" customHeight="1" thickBot="1">
      <c r="C2" s="118">
        <f>VLOOKUP(C4,waluta,2)</f>
        <v>2</v>
      </c>
      <c r="D2" s="6" t="s">
        <v>14</v>
      </c>
      <c r="E2" s="7">
        <f>SUM(E5:E268)</f>
        <v>-115906.31094289356</v>
      </c>
      <c r="F2" s="7">
        <f>SUM(F5:F268)</f>
        <v>-420089.7353233369</v>
      </c>
      <c r="G2" s="7">
        <f>SUM(G5:G268)</f>
        <v>-255641.33672729315</v>
      </c>
      <c r="H2" s="7">
        <f>SUM(H5:H268)</f>
        <v>164448.39859604416</v>
      </c>
      <c r="I2" s="7"/>
      <c r="L2" s="92"/>
      <c r="M2" s="92"/>
      <c r="N2" s="90"/>
      <c r="O2" s="90"/>
      <c r="P2" s="9" t="s">
        <v>14</v>
      </c>
      <c r="Q2" s="9"/>
      <c r="R2" s="7">
        <f aca="true" t="shared" si="0" ref="R2:AB2">SUM(R5:R268)</f>
        <v>0</v>
      </c>
      <c r="S2" s="7">
        <f t="shared" si="0"/>
        <v>0</v>
      </c>
      <c r="T2" s="7">
        <f t="shared" si="0"/>
        <v>-61802.62280689504</v>
      </c>
      <c r="U2" s="7">
        <f t="shared" si="0"/>
        <v>-255641.33672729315</v>
      </c>
      <c r="V2" s="7">
        <f t="shared" si="0"/>
        <v>-193838.71392039777</v>
      </c>
      <c r="W2" s="7">
        <f t="shared" si="0"/>
        <v>0</v>
      </c>
      <c r="X2" s="7">
        <f t="shared" si="0"/>
        <v>0</v>
      </c>
      <c r="Y2" s="7">
        <f t="shared" si="0"/>
        <v>-28020.953527495654</v>
      </c>
      <c r="Z2" s="7">
        <f t="shared" si="0"/>
        <v>-115906.31094289356</v>
      </c>
      <c r="AA2" s="7">
        <f t="shared" si="0"/>
        <v>-87885.35741539791</v>
      </c>
      <c r="AB2" s="7">
        <f t="shared" si="0"/>
        <v>189</v>
      </c>
      <c r="AD2" s="3" t="s">
        <v>36</v>
      </c>
      <c r="AG2" s="7">
        <f>SUM(AG5:AG268)</f>
        <v>122523.99999999994</v>
      </c>
      <c r="AH2" s="7">
        <f>SUM(AH5:AH268)</f>
        <v>436674.9199999999</v>
      </c>
      <c r="AI2" s="3" t="s">
        <v>39</v>
      </c>
      <c r="AL2" s="7">
        <f>SUM(AL5:AL268)</f>
        <v>270237.5099999999</v>
      </c>
      <c r="AM2" s="7">
        <f>SUM(AM5:AM268)</f>
        <v>166437.41000000006</v>
      </c>
      <c r="AO2" s="4" t="s">
        <v>46</v>
      </c>
      <c r="AQ2" s="7">
        <f>SUM(AQ5:AQ268)</f>
        <v>-27180.324921670785</v>
      </c>
      <c r="AR2" s="7">
        <f>SUM(AR5:AR268)</f>
        <v>-112429.1216146066</v>
      </c>
      <c r="AS2" s="7">
        <f>SUM(AS5:AS268)</f>
        <v>-85248.79669293603</v>
      </c>
      <c r="AT2" s="7">
        <f>SUM(AT5:AT268)</f>
        <v>-395618.48860547267</v>
      </c>
      <c r="AV2" s="11" t="s">
        <v>47</v>
      </c>
      <c r="AW2" s="7">
        <f>SUM(AW5:AW268)</f>
        <v>-27180.324921670785</v>
      </c>
      <c r="AX2" s="7">
        <f>SUM(AX5:AX268)</f>
        <v>-92613.78000000004</v>
      </c>
      <c r="AY2" s="7">
        <f>SUM(AY5:AY268)</f>
        <v>-119794.10492167085</v>
      </c>
      <c r="AZ2" s="7">
        <f>SUM(AZ5:AZ268)</f>
        <v>-414524.8160009117</v>
      </c>
      <c r="BB2" s="4" t="s">
        <v>46</v>
      </c>
      <c r="BE2" s="7">
        <f>SUM(BE5:BE268)</f>
        <v>-149561.4964599135</v>
      </c>
      <c r="BF2" s="7">
        <f>SUM(BF5:BF268)</f>
        <v>-238241.50324332228</v>
      </c>
      <c r="BG2" s="7">
        <f>SUM(BG5:BG268)</f>
        <v>-387802.99970323534</v>
      </c>
      <c r="BI2" s="11" t="s">
        <v>47</v>
      </c>
      <c r="BJ2" s="7">
        <f>SUM(BJ5:BJ268)</f>
        <v>-211843.46805942434</v>
      </c>
      <c r="BK2" s="7">
        <f>SUM(BK5:BK268)</f>
        <v>-210584.95821726965</v>
      </c>
      <c r="BL2" s="7">
        <f>SUM(BL5:BL268)</f>
        <v>-422428.42627669475</v>
      </c>
      <c r="BN2" s="151" t="s">
        <v>46</v>
      </c>
      <c r="BO2" s="36"/>
      <c r="BP2" s="7">
        <f>SUM(BP5:BP268)</f>
        <v>-154862.27548131027</v>
      </c>
      <c r="BQ2" s="7">
        <f>SUM(BQ5:BQ268)</f>
        <v>-248364.85234919918</v>
      </c>
      <c r="BR2" s="7">
        <f>SUM(BR5:BR268)</f>
        <v>-403227.12783050933</v>
      </c>
      <c r="BS2" s="7"/>
      <c r="BU2" s="152" t="s">
        <v>47</v>
      </c>
      <c r="BV2" s="7">
        <f>SUM(BV5:BV268)</f>
        <v>-212447.5427921023</v>
      </c>
      <c r="BW2" s="7">
        <f>SUM(BW5:BW268)</f>
        <v>-210453.60114360764</v>
      </c>
      <c r="BX2" s="7">
        <f>SUM(BX5:BX268)</f>
        <v>-422901.1439357099</v>
      </c>
      <c r="BY2" s="36"/>
      <c r="CA2" s="3"/>
      <c r="CB2" s="10">
        <f>SUM(CB5:CB268)</f>
        <v>212447.5427921023</v>
      </c>
      <c r="CF2" s="36"/>
      <c r="CG2" s="150">
        <f>SUM(CG5:CG268)</f>
        <v>-182608.24999999988</v>
      </c>
      <c r="CH2" s="150">
        <f>SUM(CH4:CH268)</f>
        <v>307640</v>
      </c>
    </row>
    <row r="3" spans="1:86" s="19" customFormat="1" ht="32" customHeight="1" thickBot="1">
      <c r="A3" s="12"/>
      <c r="B3" s="13"/>
      <c r="C3" s="14" t="s">
        <v>50</v>
      </c>
      <c r="D3" s="15" t="s">
        <v>23</v>
      </c>
      <c r="E3" s="16" t="s">
        <v>3</v>
      </c>
      <c r="F3" s="17" t="s">
        <v>3</v>
      </c>
      <c r="G3" s="17" t="s">
        <v>4</v>
      </c>
      <c r="H3" s="17" t="s">
        <v>5</v>
      </c>
      <c r="I3" s="18"/>
      <c r="K3" s="19" t="s">
        <v>37</v>
      </c>
      <c r="L3" s="93" t="s">
        <v>91</v>
      </c>
      <c r="M3" s="94" t="s">
        <v>92</v>
      </c>
      <c r="N3" s="95" t="s">
        <v>11</v>
      </c>
      <c r="O3" s="96" t="s">
        <v>11</v>
      </c>
      <c r="P3" s="80" t="s">
        <v>17</v>
      </c>
      <c r="Q3" s="81" t="s">
        <v>20</v>
      </c>
      <c r="R3" s="82" t="s">
        <v>21</v>
      </c>
      <c r="S3" s="83" t="s">
        <v>16</v>
      </c>
      <c r="T3" s="84" t="s">
        <v>22</v>
      </c>
      <c r="U3" s="85" t="s">
        <v>12</v>
      </c>
      <c r="V3" s="85" t="s">
        <v>9</v>
      </c>
      <c r="W3" s="86" t="s">
        <v>21</v>
      </c>
      <c r="X3" s="85" t="s">
        <v>16</v>
      </c>
      <c r="Y3" s="87" t="s">
        <v>10</v>
      </c>
      <c r="Z3" s="86" t="s">
        <v>12</v>
      </c>
      <c r="AA3" s="86" t="s">
        <v>9</v>
      </c>
      <c r="AB3" s="17" t="s">
        <v>13</v>
      </c>
      <c r="AD3" s="10" t="s">
        <v>27</v>
      </c>
      <c r="AE3" s="23" t="s">
        <v>10</v>
      </c>
      <c r="AF3" s="23" t="s">
        <v>9</v>
      </c>
      <c r="AG3" s="23" t="s">
        <v>35</v>
      </c>
      <c r="AH3" s="23" t="s">
        <v>38</v>
      </c>
      <c r="AI3" s="23" t="s">
        <v>27</v>
      </c>
      <c r="AJ3" s="23" t="s">
        <v>10</v>
      </c>
      <c r="AK3" s="23" t="s">
        <v>9</v>
      </c>
      <c r="AL3" s="23" t="s">
        <v>35</v>
      </c>
      <c r="AM3" s="19" t="s">
        <v>40</v>
      </c>
      <c r="AO3" s="24" t="s">
        <v>33</v>
      </c>
      <c r="AP3" s="20" t="s">
        <v>11</v>
      </c>
      <c r="AQ3" s="22" t="s">
        <v>10</v>
      </c>
      <c r="AR3" s="21" t="s">
        <v>12</v>
      </c>
      <c r="AS3" s="21" t="s">
        <v>9</v>
      </c>
      <c r="AT3" s="12" t="s">
        <v>4</v>
      </c>
      <c r="AV3" s="25" t="s">
        <v>11</v>
      </c>
      <c r="AW3" s="26" t="s">
        <v>10</v>
      </c>
      <c r="AX3" s="27" t="s">
        <v>9</v>
      </c>
      <c r="AY3" s="27" t="s">
        <v>48</v>
      </c>
      <c r="AZ3" s="28" t="s">
        <v>4</v>
      </c>
      <c r="BB3" s="19" t="s">
        <v>34</v>
      </c>
      <c r="BC3" s="19" t="s">
        <v>28</v>
      </c>
      <c r="BD3" s="19" t="s">
        <v>11</v>
      </c>
      <c r="BE3" s="23" t="s">
        <v>9</v>
      </c>
      <c r="BF3" s="23" t="s">
        <v>22</v>
      </c>
      <c r="BG3" s="23" t="s">
        <v>35</v>
      </c>
      <c r="BI3" s="25" t="s">
        <v>11</v>
      </c>
      <c r="BJ3" s="26" t="s">
        <v>10</v>
      </c>
      <c r="BK3" s="27" t="s">
        <v>9</v>
      </c>
      <c r="BL3" s="27" t="s">
        <v>48</v>
      </c>
      <c r="BN3" s="12" t="s">
        <v>28</v>
      </c>
      <c r="BO3" s="12" t="s">
        <v>11</v>
      </c>
      <c r="BP3" s="148" t="s">
        <v>9</v>
      </c>
      <c r="BQ3" s="148" t="s">
        <v>22</v>
      </c>
      <c r="BR3" s="148" t="s">
        <v>35</v>
      </c>
      <c r="BS3" s="148" t="s">
        <v>98</v>
      </c>
      <c r="BU3" s="25" t="s">
        <v>11</v>
      </c>
      <c r="BV3" s="26" t="s">
        <v>10</v>
      </c>
      <c r="BW3" s="27" t="s">
        <v>9</v>
      </c>
      <c r="BX3" s="27" t="s">
        <v>48</v>
      </c>
      <c r="BY3" s="148" t="s">
        <v>98</v>
      </c>
      <c r="CA3" s="196" t="s">
        <v>11</v>
      </c>
      <c r="CB3" s="22" t="s">
        <v>118</v>
      </c>
      <c r="CC3" s="21" t="s">
        <v>119</v>
      </c>
      <c r="CD3" s="148" t="s">
        <v>98</v>
      </c>
      <c r="CF3" s="12" t="s">
        <v>142</v>
      </c>
      <c r="CG3" s="12" t="s">
        <v>143</v>
      </c>
      <c r="CH3" s="12" t="s">
        <v>146</v>
      </c>
    </row>
    <row r="4" spans="1:87" ht="17" thickBot="1">
      <c r="A4" s="29" t="s">
        <v>6</v>
      </c>
      <c r="B4" s="30" t="s">
        <v>49</v>
      </c>
      <c r="C4" s="117" t="str">
        <f>Podsumowanie!E3</f>
        <v>CHF</v>
      </c>
      <c r="D4" s="119" t="str">
        <f>C4</f>
        <v>CHF</v>
      </c>
      <c r="E4" s="120" t="str">
        <f>D4</f>
        <v>CHF</v>
      </c>
      <c r="F4" s="8" t="s">
        <v>8</v>
      </c>
      <c r="G4" s="8" t="s">
        <v>8</v>
      </c>
      <c r="H4" s="31" t="s">
        <v>8</v>
      </c>
      <c r="I4" s="32"/>
      <c r="L4" s="97"/>
      <c r="M4" s="98"/>
      <c r="N4" s="121" t="str">
        <f>C4</f>
        <v>CHF</v>
      </c>
      <c r="O4" s="99" t="s">
        <v>8</v>
      </c>
      <c r="P4" s="39"/>
      <c r="Q4" s="40"/>
      <c r="R4" s="41" t="s">
        <v>8</v>
      </c>
      <c r="S4" s="42" t="s">
        <v>8</v>
      </c>
      <c r="T4" s="88" t="s">
        <v>8</v>
      </c>
      <c r="U4" s="89" t="s">
        <v>8</v>
      </c>
      <c r="V4" s="89" t="s">
        <v>8</v>
      </c>
      <c r="W4" s="90" t="str">
        <f>C4</f>
        <v>CHF</v>
      </c>
      <c r="X4" s="90" t="str">
        <f>C4</f>
        <v>CHF</v>
      </c>
      <c r="Y4" s="91" t="str">
        <f>C4</f>
        <v>CHF</v>
      </c>
      <c r="Z4" s="90" t="str">
        <f>C4</f>
        <v>CHF</v>
      </c>
      <c r="AA4" s="90" t="str">
        <f>C4</f>
        <v>CHF</v>
      </c>
      <c r="AB4" s="8"/>
      <c r="AD4" s="10" t="str">
        <f>C4</f>
        <v>CHF</v>
      </c>
      <c r="AE4" s="10" t="str">
        <f>C4</f>
        <v>CHF</v>
      </c>
      <c r="AF4" s="10" t="str">
        <f>C4</f>
        <v>CHF</v>
      </c>
      <c r="AG4" s="10" t="str">
        <f>C4</f>
        <v>CHF</v>
      </c>
      <c r="AH4" s="10" t="s">
        <v>8</v>
      </c>
      <c r="AI4" s="10" t="s">
        <v>8</v>
      </c>
      <c r="AJ4" s="10" t="s">
        <v>8</v>
      </c>
      <c r="AK4" s="10" t="s">
        <v>8</v>
      </c>
      <c r="AL4" s="10" t="s">
        <v>8</v>
      </c>
      <c r="AM4" s="4" t="s">
        <v>8</v>
      </c>
      <c r="AO4" s="35"/>
      <c r="AP4" s="122" t="str">
        <f>C4</f>
        <v>CHF</v>
      </c>
      <c r="AQ4" s="34" t="str">
        <f>C4</f>
        <v>CHF</v>
      </c>
      <c r="AR4" s="7" t="str">
        <f>C4</f>
        <v>CHF</v>
      </c>
      <c r="AS4" s="7" t="str">
        <f>C4</f>
        <v>CHF</v>
      </c>
      <c r="AT4" s="36" t="s">
        <v>8</v>
      </c>
      <c r="AV4" s="122" t="str">
        <f>C4</f>
        <v>CHF</v>
      </c>
      <c r="AW4" s="34" t="str">
        <f>C4</f>
        <v>CHF</v>
      </c>
      <c r="AX4" s="7" t="str">
        <f>C4</f>
        <v>CHF</v>
      </c>
      <c r="AY4" s="7" t="str">
        <f>C4</f>
        <v>CHF</v>
      </c>
      <c r="AZ4" s="36" t="s">
        <v>8</v>
      </c>
      <c r="BI4" s="33" t="s">
        <v>8</v>
      </c>
      <c r="BJ4" s="34" t="s">
        <v>8</v>
      </c>
      <c r="BK4" s="7" t="s">
        <v>8</v>
      </c>
      <c r="BL4" s="7" t="s">
        <v>8</v>
      </c>
      <c r="BM4" s="4" t="s">
        <v>114</v>
      </c>
      <c r="BN4" s="149">
        <f>Podsumowanie!E26</f>
        <v>0.0121</v>
      </c>
      <c r="BO4" s="36"/>
      <c r="BP4" s="150"/>
      <c r="BQ4" s="150"/>
      <c r="BR4" s="150"/>
      <c r="BS4" s="150"/>
      <c r="BU4" s="33" t="s">
        <v>8</v>
      </c>
      <c r="BV4" s="34" t="s">
        <v>8</v>
      </c>
      <c r="BW4" s="7" t="s">
        <v>8</v>
      </c>
      <c r="BX4" s="7" t="s">
        <v>8</v>
      </c>
      <c r="BY4" s="36"/>
      <c r="CA4" s="197" t="s">
        <v>8</v>
      </c>
      <c r="CB4" s="34" t="s">
        <v>8</v>
      </c>
      <c r="CC4" s="7" t="s">
        <v>8</v>
      </c>
      <c r="CD4" s="150"/>
      <c r="CF4" s="36" t="s">
        <v>141</v>
      </c>
      <c r="CG4" s="36"/>
      <c r="CH4" s="150">
        <f>ROUND(VLOOKUP(Podsumowanie!E7,Inflacja,2)*Podsumowanie!E2,2)</f>
        <v>307640</v>
      </c>
      <c r="CI4" s="4" t="s">
        <v>158</v>
      </c>
    </row>
    <row r="5" spans="1:87" ht="15.75">
      <c r="A5" s="36">
        <v>2002</v>
      </c>
      <c r="B5" s="37">
        <v>37257</v>
      </c>
      <c r="C5" s="77">
        <f aca="true" t="shared" si="1" ref="C5:C68">VLOOKUP(B5,Kursy,C$2)</f>
        <v>2.4382</v>
      </c>
      <c r="D5" s="78">
        <f>C5*(1+Podsumowanie!E$11)</f>
        <v>2.511346</v>
      </c>
      <c r="E5" s="34">
        <f>Z5</f>
        <v>0</v>
      </c>
      <c r="F5" s="7">
        <f>E5*D5</f>
        <v>0</v>
      </c>
      <c r="G5" s="7">
        <f>U5</f>
        <v>0</v>
      </c>
      <c r="H5" s="7">
        <f>G5-F5</f>
        <v>0</v>
      </c>
      <c r="I5" s="32"/>
      <c r="J5" s="4" t="str">
        <f>IF(H5&lt;0,"Ze względu na spadek kursu CHF, rata jest korzystniejsza niż bez klauzuli indeksacyjnej"," ")</f>
        <v xml:space="preserve"> </v>
      </c>
      <c r="K5" s="4">
        <f>IF(B5&lt;Podsumowanie!E$7,0,K4+1)</f>
        <v>0</v>
      </c>
      <c r="L5" s="100">
        <f aca="true" t="shared" si="2" ref="L5:L68">VLOOKUP(B5,Oproc,C$2)</f>
        <v>0.018267</v>
      </c>
      <c r="M5" s="38">
        <f>L5+Podsumowanie!E$6</f>
        <v>0.030267</v>
      </c>
      <c r="N5" s="101">
        <f>Podsumowanie!E$4</f>
        <v>181357.6981355522</v>
      </c>
      <c r="O5" s="102">
        <f>Podsumowanie!E2</f>
        <v>400000</v>
      </c>
      <c r="P5" s="39">
        <f>Podsumowanie!E8</f>
        <v>360</v>
      </c>
      <c r="Q5" s="40" t="str">
        <f>IF(AND(K5&gt;0,K5&lt;=Podsumowanie!E$9),"tak","nie")</f>
        <v>nie</v>
      </c>
      <c r="R5" s="41"/>
      <c r="S5" s="42"/>
      <c r="T5" s="88">
        <f>IF(AB5=1,-O5*M5/12,0)</f>
        <v>0</v>
      </c>
      <c r="U5" s="89">
        <f>IF(Q5="tak",T5,IF(P5-SUM(AB$5:AB5)+1&gt;0,IF(Podsumowanie!E$7&lt;B5,IF(SUM(AB$5:AB5)-Podsumowanie!E$9+1&gt;0,PMT(M5/12,P5+1-SUM(AB$5:AB5),O5),T5),0),0))</f>
        <v>0</v>
      </c>
      <c r="V5" s="89">
        <f>U5-T5</f>
        <v>0</v>
      </c>
      <c r="W5" s="90" t="str">
        <f>IF(R5&gt;0,R5/(C5*(1-Podsumowanie!E$11))," ")</f>
        <v xml:space="preserve"> </v>
      </c>
      <c r="X5" s="90" t="str">
        <f>IF(S5&gt;0,S5/D5," ")</f>
        <v xml:space="preserve"> </v>
      </c>
      <c r="Y5" s="91">
        <f aca="true" t="shared" si="3" ref="Y5:Y81">IF(AB5=1,-N5*M5/12,0)</f>
        <v>0</v>
      </c>
      <c r="Z5" s="90">
        <f>IF(P5-SUM(AB$5:AB5)+1&gt;0,IF(Podsumowanie!E$7&lt;B5,IF(SUM(AB$5:AB5)-Podsumowanie!E$9+1&gt;0,PMT(M5/12,P5+1-SUM(AB$5:AB5),N5),Y5),0),0)</f>
        <v>0</v>
      </c>
      <c r="AA5" s="90">
        <f>Z5-Y5</f>
        <v>0</v>
      </c>
      <c r="AB5" s="8">
        <v>0</v>
      </c>
      <c r="AD5" s="10">
        <f>Podsumowanie!E$4</f>
        <v>181357.6981355522</v>
      </c>
      <c r="AE5" s="10">
        <f>IF(AB5=1,ROUND(AD5*M5/12,2),0)</f>
        <v>0</v>
      </c>
      <c r="AF5" s="10">
        <f>IF(Q5="tak",0,IF(AB5=1,ROUND(AD5/(P5-K5+1),2),0))</f>
        <v>0</v>
      </c>
      <c r="AG5" s="10">
        <f>AF5+AE5</f>
        <v>0</v>
      </c>
      <c r="AH5" s="10">
        <f>ROUND(AG5*D5,2)</f>
        <v>0</v>
      </c>
      <c r="AI5" s="10">
        <f>Podsumowanie!E$2</f>
        <v>400000</v>
      </c>
      <c r="AJ5" s="10">
        <f>IF(AB5=1,ROUND(AI5*M5/12,2),0)</f>
        <v>0</v>
      </c>
      <c r="AK5" s="10">
        <f>IF(Q5="tak",0,IF(AB5=1,ROUND(AI5/(P5-K5+1),2),0))</f>
        <v>0</v>
      </c>
      <c r="AL5" s="10">
        <f>AK5+AJ5</f>
        <v>0</v>
      </c>
      <c r="AM5" s="10">
        <f>AH5-AL5</f>
        <v>0</v>
      </c>
      <c r="AN5" s="4" t="s">
        <v>30</v>
      </c>
      <c r="AO5" s="43">
        <f>B5</f>
        <v>37257</v>
      </c>
      <c r="AP5" s="11">
        <f>Podsumowanie!E2/VLOOKUP(Podsumowanie!E7,Kursy,VLOOKUP(E4,waluta,2))</f>
        <v>175916.96719148563</v>
      </c>
      <c r="AQ5" s="10">
        <f>IF(AB5=1,-AP5*M5/12,0)</f>
        <v>0</v>
      </c>
      <c r="AR5" s="10">
        <f>IF(AB5=1,IF(Q5="tak",AQ5,PMT(M5/12,P5+1-SUM(AB$5:AB5),AP5)),0)</f>
        <v>0</v>
      </c>
      <c r="AS5" s="10">
        <f>AR5-AQ5</f>
        <v>0</v>
      </c>
      <c r="AT5" s="10">
        <f>AR5*C5</f>
        <v>0</v>
      </c>
      <c r="AV5" s="11">
        <f>Podsumowanie!E2/VLOOKUP(Podsumowanie!E7,Kursy,VLOOKUP(E4,waluta,2))</f>
        <v>175916.96719148563</v>
      </c>
      <c r="AW5" s="11">
        <f>IF(AB5=1,-AP5*M5/12,0)</f>
        <v>0</v>
      </c>
      <c r="AX5" s="11">
        <f>IF(AB5=1,IF(Q5="tak",0,ROUND(-AV5/(P5-K5+1),2)),0)</f>
        <v>0</v>
      </c>
      <c r="AY5" s="11">
        <f>AX5+AW5</f>
        <v>0</v>
      </c>
      <c r="AZ5" s="11">
        <f>AY5*C5</f>
        <v>0</v>
      </c>
      <c r="BB5" s="191">
        <f aca="true" t="shared" si="4" ref="BB5:BB68">VLOOKUP(B5,Oproc,5)</f>
        <v>0.1182</v>
      </c>
      <c r="BC5" s="44">
        <f>BB5+Podsumowanie!$E$6</f>
        <v>0.1302</v>
      </c>
      <c r="BD5" s="11">
        <f>Podsumowanie!E2</f>
        <v>400000</v>
      </c>
      <c r="BE5" s="10">
        <f>IF(BG5&lt;0,BG5-BF5,0)</f>
        <v>0</v>
      </c>
      <c r="BF5" s="10">
        <f>IF(BG5&lt;0,-BD5*BC5/12,0)</f>
        <v>0</v>
      </c>
      <c r="BG5" s="10">
        <f>IF(U5&lt;0,PMT(BC5/12,Podsumowanie!E$8-SUM(AB$5:AB5)+1,BD5),0)</f>
        <v>0</v>
      </c>
      <c r="BI5" s="11">
        <f>Podsumowanie!E2</f>
        <v>400000</v>
      </c>
      <c r="BJ5" s="11">
        <f aca="true" t="shared" si="5" ref="BJ5:BJ68">IF(AB5=1,-BC5*BI5/12,0)</f>
        <v>0</v>
      </c>
      <c r="BK5" s="11">
        <f aca="true" t="shared" si="6" ref="BK5:BK68">IF(AB5=1,-BI5/(P5-K5+1),0)</f>
        <v>0</v>
      </c>
      <c r="BL5" s="11">
        <f aca="true" t="shared" si="7" ref="BL5:BL68">BK5+BJ5</f>
        <v>0</v>
      </c>
      <c r="BN5" s="44">
        <f aca="true" t="shared" si="8" ref="BN5:BN68">BB5+$BN$4</f>
        <v>0.1303</v>
      </c>
      <c r="BO5" s="11">
        <f>Podsumowanie!E2</f>
        <v>400000</v>
      </c>
      <c r="BP5" s="10">
        <f>IF(BR5&lt;0,BR5-BQ5,0)</f>
        <v>0</v>
      </c>
      <c r="BQ5" s="10">
        <f>IF(BR5&lt;0,-BO5*BN5/12,0)</f>
        <v>0</v>
      </c>
      <c r="BR5" s="10">
        <f>IF(U5&lt;0,PMT(BN5/12,Podsumowanie!E$8-SUM(AB$5:AB5)+1,BO5),0)</f>
        <v>0</v>
      </c>
      <c r="BS5" s="10">
        <f>$F5-BR5</f>
        <v>0</v>
      </c>
      <c r="BU5" s="11">
        <f>Podsumowanie!E2</f>
        <v>400000</v>
      </c>
      <c r="BV5" s="10">
        <f aca="true" t="shared" si="9" ref="BV5:BV68">IF(AB5=1,-BN5*BU5/12,0)</f>
        <v>0</v>
      </c>
      <c r="BW5" s="10">
        <f aca="true" t="shared" si="10" ref="BW5:BW68">IF(AB5=1,-BU5/(P5-K5+1),0)</f>
        <v>0</v>
      </c>
      <c r="BX5" s="10">
        <f>BW5+BV5</f>
        <v>0</v>
      </c>
      <c r="BY5" s="10">
        <f>$F5-BX5</f>
        <v>0</v>
      </c>
      <c r="CA5" s="10">
        <f>Podsumowanie!E2</f>
        <v>400000</v>
      </c>
      <c r="CB5" s="10">
        <f>IF(AB5=1,BN5*BU5/12,0)</f>
        <v>0</v>
      </c>
      <c r="CC5" s="10">
        <f>-F5</f>
        <v>0</v>
      </c>
      <c r="CD5" s="10">
        <f>CC5-CB5</f>
        <v>0</v>
      </c>
      <c r="CF5" s="44">
        <f aca="true" t="shared" si="11" ref="CF5:CF68">VLOOKUP(B5,Inflacja,2)</f>
        <v>0.9524</v>
      </c>
      <c r="CG5" s="10">
        <f>ROUND(CF5*(F5-S5),2)</f>
        <v>0</v>
      </c>
      <c r="CH5" s="4">
        <f>ROUND(R5*CF5,2)</f>
        <v>0</v>
      </c>
      <c r="CI5" s="4" t="s">
        <v>147</v>
      </c>
    </row>
    <row r="6" spans="1:86" ht="15.75">
      <c r="A6" s="36"/>
      <c r="B6" s="113">
        <v>37288</v>
      </c>
      <c r="C6" s="77">
        <f t="shared" si="1"/>
        <v>2.4643</v>
      </c>
      <c r="D6" s="78">
        <f>C6*(1+Podsumowanie!E$11)</f>
        <v>2.5382290000000003</v>
      </c>
      <c r="E6" s="34">
        <f aca="true" t="shared" si="12" ref="E6:E42">Z6</f>
        <v>0</v>
      </c>
      <c r="F6" s="7">
        <f aca="true" t="shared" si="13" ref="F6:F42">E6*D6</f>
        <v>0</v>
      </c>
      <c r="G6" s="7">
        <f aca="true" t="shared" si="14" ref="G6:G42">U6</f>
        <v>0</v>
      </c>
      <c r="H6" s="7">
        <f aca="true" t="shared" si="15" ref="H6:H42">G6-F6</f>
        <v>0</v>
      </c>
      <c r="I6" s="32"/>
      <c r="J6" s="4" t="str">
        <f aca="true" t="shared" si="16" ref="J6:J42">IF(H6&lt;0,"Ze względu na spadek kursu CHF, rata jest korzystniejsza niż bez klauzuli indeksacyjnej"," ")</f>
        <v xml:space="preserve"> </v>
      </c>
      <c r="K6" s="4">
        <f>IF(B6&lt;Podsumowanie!E$7,0,K5+1)</f>
        <v>0</v>
      </c>
      <c r="L6" s="100">
        <f t="shared" si="2"/>
        <v>0.016767</v>
      </c>
      <c r="M6" s="38">
        <f>L6+Podsumowanie!E$6</f>
        <v>0.028767</v>
      </c>
      <c r="N6" s="101">
        <f>MAX(Podsumowanie!E$4+SUM(AA$5:AA5)-SUM(X$5:X6)+SUM(W$5:W6),0)</f>
        <v>181357.6981355522</v>
      </c>
      <c r="O6" s="102">
        <f>MAX(Podsumowanie!E$2+SUM(V$5:V5)-SUM(S$5:S6)+SUM(R$5:R6),0)</f>
        <v>400000</v>
      </c>
      <c r="P6" s="39">
        <f aca="true" t="shared" si="17" ref="P6:P42">P5</f>
        <v>360</v>
      </c>
      <c r="Q6" s="40" t="str">
        <f>IF(AND(K6&gt;0,K6&lt;=Podsumowanie!E$9),"tak","nie")</f>
        <v>nie</v>
      </c>
      <c r="R6" s="41"/>
      <c r="S6" s="42"/>
      <c r="T6" s="88">
        <f aca="true" t="shared" si="18" ref="T6:T42">IF(AB6=1,-O6*M6/12,0)</f>
        <v>0</v>
      </c>
      <c r="U6" s="89">
        <f>IF(Q6="tak",T6,IF(P6-SUM(AB$5:AB6)+1&gt;0,IF(Podsumowanie!E$7&lt;B6,IF(SUM(AB$5:AB6)-Podsumowanie!E$9+1&gt;0,PMT(M6/12,P6+1-SUM(AB$5:AB6),O6),T6),0),0))</f>
        <v>0</v>
      </c>
      <c r="V6" s="89">
        <f aca="true" t="shared" si="19" ref="V6:V42">U6-T6</f>
        <v>0</v>
      </c>
      <c r="W6" s="90" t="str">
        <f>IF(R6&gt;0,R6/(C6*(1-Podsumowanie!E$11))," ")</f>
        <v xml:space="preserve"> </v>
      </c>
      <c r="X6" s="90" t="str">
        <f aca="true" t="shared" si="20" ref="X6:X42">IF(S6&gt;0,S6/D6," ")</f>
        <v xml:space="preserve"> </v>
      </c>
      <c r="Y6" s="91">
        <f aca="true" t="shared" si="21" ref="Y6:Y42">IF(AB6=1,-N6*M6/12,0)</f>
        <v>0</v>
      </c>
      <c r="Z6" s="90">
        <f>IF(P6-SUM(AB$5:AB6)+1&gt;0,IF(Podsumowanie!E$7&lt;B6,IF(SUM(AB$5:AB6)-Podsumowanie!E$9+1&gt;0,PMT(M6/12,P6+1-SUM(AB$5:AB6),N6),Y6),0),0)</f>
        <v>0</v>
      </c>
      <c r="AA6" s="90">
        <f aca="true" t="shared" si="22" ref="AA6:AA42">Z6-Y6</f>
        <v>0</v>
      </c>
      <c r="AB6" s="8" t="str">
        <f>IF(AND(Podsumowanie!E$7&lt;B6,SUM(AB$5:AB5)&lt;P5),1," ")</f>
        <v xml:space="preserve"> </v>
      </c>
      <c r="AD6" s="10">
        <f>Podsumowanie!E$4-SUM(AF$5:AF5)+SUM(W6:W$42)-SUM(X6:X$42)</f>
        <v>181357.6981355522</v>
      </c>
      <c r="AE6" s="10">
        <f aca="true" t="shared" si="23" ref="AE6:AE42">IF(AB6=1,ROUND(AD6*M6/12,2),0)</f>
        <v>0</v>
      </c>
      <c r="AF6" s="10">
        <f aca="true" t="shared" si="24" ref="AF6:AF42">IF(Q6="tak",0,IF(AB6=1,ROUND(AD6/(P6-K6+1),2),0))</f>
        <v>0</v>
      </c>
      <c r="AG6" s="10">
        <f aca="true" t="shared" si="25" ref="AG6:AG42">AF6+AE6</f>
        <v>0</v>
      </c>
      <c r="AH6" s="10">
        <f aca="true" t="shared" si="26" ref="AH6:AH42">ROUND(AG6*D6,2)</f>
        <v>0</v>
      </c>
      <c r="AI6" s="10">
        <f>Podsumowanie!E$2-SUM(AK$5:AK5)+SUM(R6:R$42)-SUM(S6:S$42)</f>
        <v>400000</v>
      </c>
      <c r="AJ6" s="10">
        <f aca="true" t="shared" si="27" ref="AJ6:AJ42">IF(AB6=1,ROUND(AI6*M6/12,2),0)</f>
        <v>0</v>
      </c>
      <c r="AK6" s="10">
        <f aca="true" t="shared" si="28" ref="AK6:AK42">IF(Q6="tak",0,IF(AB6=1,ROUND(AI6/(P6-K6+1),2),0))</f>
        <v>0</v>
      </c>
      <c r="AL6" s="10">
        <f aca="true" t="shared" si="29" ref="AL6:AL42">AK6+AJ6</f>
        <v>0</v>
      </c>
      <c r="AM6" s="10">
        <f aca="true" t="shared" si="30" ref="AM6:AM42">AH6-AL6</f>
        <v>0</v>
      </c>
      <c r="AO6" s="43">
        <f aca="true" t="shared" si="31" ref="AO6:AO42">B6</f>
        <v>37288</v>
      </c>
      <c r="AP6" s="11">
        <f>AP$5+SUM(AS$5:AS5)-SUM(X$5:X6)+SUM(W$5:W6)</f>
        <v>175916.96719148563</v>
      </c>
      <c r="AQ6" s="10">
        <f aca="true" t="shared" si="32" ref="AQ6:AQ42">IF(AB6=1,-AP6*M6/12,0)</f>
        <v>0</v>
      </c>
      <c r="AR6" s="10">
        <f>IF(AB6=1,IF(Q6="tak",AQ6,PMT(M6/12,P6+1-SUM(AB$5:AB6),AP6)),0)</f>
        <v>0</v>
      </c>
      <c r="AS6" s="10">
        <f aca="true" t="shared" si="33" ref="AS6:AS42">AR6-AQ6</f>
        <v>0</v>
      </c>
      <c r="AT6" s="10">
        <f aca="true" t="shared" si="34" ref="AT6:AT42">AR6*C6</f>
        <v>0</v>
      </c>
      <c r="AV6" s="11">
        <f>AV$5+SUM(AX$5:AX5)+SUM(W$5:W5)-SUM(X$5:X5)</f>
        <v>175916.96719148563</v>
      </c>
      <c r="AW6" s="11">
        <f aca="true" t="shared" si="35" ref="AW6:AW42">IF(AB6=1,-AP6*M6/12,0)</f>
        <v>0</v>
      </c>
      <c r="AX6" s="11">
        <f aca="true" t="shared" si="36" ref="AX6:AX42">IF(AB6=1,IF(Q6="tak",0,ROUND(-AV6/(P6-K6+1),2)),0)</f>
        <v>0</v>
      </c>
      <c r="AY6" s="11">
        <f aca="true" t="shared" si="37" ref="AY6:AY42">AX6+AW6</f>
        <v>0</v>
      </c>
      <c r="AZ6" s="11">
        <f aca="true" t="shared" si="38" ref="AZ6:AZ42">AY6*C6</f>
        <v>0</v>
      </c>
      <c r="BB6" s="191">
        <f t="shared" si="4"/>
        <v>0.1081</v>
      </c>
      <c r="BC6" s="44">
        <f>BB6+Podsumowanie!$E$6</f>
        <v>0.1201</v>
      </c>
      <c r="BD6" s="11">
        <f>BD$5+SUM(BE$5:BE5)+SUM(R$5:R5)-SUM(S$5:S5)</f>
        <v>400000</v>
      </c>
      <c r="BE6" s="10">
        <f aca="true" t="shared" si="39" ref="BE6:BE42">IF(BG6&lt;0,BG6-BF6,0)</f>
        <v>0</v>
      </c>
      <c r="BF6" s="10">
        <f aca="true" t="shared" si="40" ref="BF6:BF42">IF(BG6&lt;0,-BD6*BC6/12,0)</f>
        <v>0</v>
      </c>
      <c r="BG6" s="10">
        <f>IF(U6&lt;0,PMT(BC6/12,Podsumowanie!E$8-SUM(AB$5:AB6)+1,BD6),0)</f>
        <v>0</v>
      </c>
      <c r="BI6" s="11">
        <f>BI$5+SUM(BK$5:BK5)+SUM(R$5:R5)-SUM(S$5:S5)</f>
        <v>400000</v>
      </c>
      <c r="BJ6" s="11">
        <f t="shared" si="5"/>
        <v>0</v>
      </c>
      <c r="BK6" s="11">
        <f t="shared" si="6"/>
        <v>0</v>
      </c>
      <c r="BL6" s="11">
        <f t="shared" si="7"/>
        <v>0</v>
      </c>
      <c r="BN6" s="44">
        <f t="shared" si="8"/>
        <v>0.1202</v>
      </c>
      <c r="BO6" s="11">
        <f>BO$5+SUM(BP$5:BP5)+SUM(R$5:R5)-SUM(S$5:S5)+SUM(BS$5:BS5)</f>
        <v>400000</v>
      </c>
      <c r="BP6" s="10">
        <f>IF(BR6&lt;0,BR6-BQ6,0)</f>
        <v>0</v>
      </c>
      <c r="BQ6" s="10">
        <f>IF(BR6&lt;0,-BO6*BN6/12,0)</f>
        <v>0</v>
      </c>
      <c r="BR6" s="10">
        <f>IF(U6&lt;0,PMT(BN6/12,Podsumowanie!E$8-SUM(AB$5:AB6)+1,BO6),0)</f>
        <v>0</v>
      </c>
      <c r="BS6" s="10">
        <f aca="true" t="shared" si="41" ref="BS6:BS69">F6-BR6</f>
        <v>0</v>
      </c>
      <c r="BU6" s="11">
        <f>BU$5+SUM(BW$5:BW5)+SUM(R$5:R5)-SUM(S$5:S5)+SUM(BY$5,BY5)</f>
        <v>400000</v>
      </c>
      <c r="BV6" s="10">
        <f t="shared" si="9"/>
        <v>0</v>
      </c>
      <c r="BW6" s="10">
        <f t="shared" si="10"/>
        <v>0</v>
      </c>
      <c r="BX6" s="10">
        <f>BW6+BV6</f>
        <v>0</v>
      </c>
      <c r="BY6" s="10">
        <f>$F6-BX6</f>
        <v>0</v>
      </c>
      <c r="CA6" s="10">
        <f>CA$5+SUM(CB$5:CB5)+SUM(R$5:R5)-SUM(S$5:S5)-SUM(CC$5:CC5)</f>
        <v>400000</v>
      </c>
      <c r="CB6" s="10">
        <f aca="true" t="shared" si="42" ref="CB6:CB69">IF(AB6=1,BN6*BU6/12,0)</f>
        <v>0</v>
      </c>
      <c r="CC6" s="10">
        <f aca="true" t="shared" si="43" ref="CC6:CC69">-F6</f>
        <v>0</v>
      </c>
      <c r="CD6" s="10">
        <f aca="true" t="shared" si="44" ref="CD6:CD69">CC6-CB6</f>
        <v>0</v>
      </c>
      <c r="CF6" s="44">
        <f t="shared" si="11"/>
        <v>0.9504</v>
      </c>
      <c r="CG6" s="10">
        <f aca="true" t="shared" si="45" ref="CG6:CG69">ROUND(CF6*(F6-S6),2)</f>
        <v>0</v>
      </c>
      <c r="CH6" s="4">
        <f>ROUND(R6*CF6,2)</f>
        <v>0</v>
      </c>
    </row>
    <row r="7" spans="1:86" ht="15.75">
      <c r="A7" s="36"/>
      <c r="B7" s="113">
        <v>37316</v>
      </c>
      <c r="C7" s="77">
        <f t="shared" si="1"/>
        <v>2.4726</v>
      </c>
      <c r="D7" s="78">
        <f>C7*(1+Podsumowanie!E$11)</f>
        <v>2.5467779999999998</v>
      </c>
      <c r="E7" s="34">
        <f t="shared" si="12"/>
        <v>0</v>
      </c>
      <c r="F7" s="7">
        <f t="shared" si="13"/>
        <v>0</v>
      </c>
      <c r="G7" s="7">
        <f t="shared" si="14"/>
        <v>0</v>
      </c>
      <c r="H7" s="7">
        <f t="shared" si="15"/>
        <v>0</v>
      </c>
      <c r="I7" s="32"/>
      <c r="J7" s="4" t="str">
        <f t="shared" si="16"/>
        <v xml:space="preserve"> </v>
      </c>
      <c r="K7" s="4">
        <f>IF(B7&lt;Podsumowanie!E$7,0,K6+1)</f>
        <v>0</v>
      </c>
      <c r="L7" s="100">
        <f t="shared" si="2"/>
        <v>0.017467</v>
      </c>
      <c r="M7" s="38">
        <f>L7+Podsumowanie!E$6</f>
        <v>0.029467</v>
      </c>
      <c r="N7" s="101">
        <f>MAX(Podsumowanie!E$4+SUM(AA$5:AA6)-SUM(X$5:X7)+SUM(W$5:W7),0)</f>
        <v>181357.6981355522</v>
      </c>
      <c r="O7" s="102">
        <f>MAX(Podsumowanie!E$2+SUM(V$5:V6)-SUM(S$5:S7)+SUM(R$5:R7),0)</f>
        <v>400000</v>
      </c>
      <c r="P7" s="39">
        <f t="shared" si="17"/>
        <v>360</v>
      </c>
      <c r="Q7" s="40" t="str">
        <f>IF(AND(K7&gt;0,K7&lt;=Podsumowanie!E$9),"tak","nie")</f>
        <v>nie</v>
      </c>
      <c r="R7" s="41"/>
      <c r="S7" s="42"/>
      <c r="T7" s="88">
        <f t="shared" si="18"/>
        <v>0</v>
      </c>
      <c r="U7" s="89">
        <f>IF(Q7="tak",T7,IF(P7-SUM(AB$5:AB7)+1&gt;0,IF(Podsumowanie!E$7&lt;B7,IF(SUM(AB$5:AB7)-Podsumowanie!E$9+1&gt;0,PMT(M7/12,P7+1-SUM(AB$5:AB7),O7),T7),0),0))</f>
        <v>0</v>
      </c>
      <c r="V7" s="89">
        <f t="shared" si="19"/>
        <v>0</v>
      </c>
      <c r="W7" s="90" t="str">
        <f>IF(R7&gt;0,R7/(C7*(1-Podsumowanie!E$11))," ")</f>
        <v xml:space="preserve"> </v>
      </c>
      <c r="X7" s="90" t="str">
        <f t="shared" si="20"/>
        <v xml:space="preserve"> </v>
      </c>
      <c r="Y7" s="91">
        <f t="shared" si="21"/>
        <v>0</v>
      </c>
      <c r="Z7" s="90">
        <f>IF(P7-SUM(AB$5:AB7)+1&gt;0,IF(Podsumowanie!E$7&lt;B7,IF(SUM(AB$5:AB7)-Podsumowanie!E$9+1&gt;0,PMT(M7/12,P7+1-SUM(AB$5:AB7),N7),Y7),0),0)</f>
        <v>0</v>
      </c>
      <c r="AA7" s="90">
        <f t="shared" si="22"/>
        <v>0</v>
      </c>
      <c r="AB7" s="8" t="str">
        <f>IF(AND(Podsumowanie!E$7&lt;B7,SUM(AB$5:AB6)&lt;P6),1," ")</f>
        <v xml:space="preserve"> </v>
      </c>
      <c r="AD7" s="10">
        <f>Podsumowanie!E$4-SUM(AF$5:AF6)+SUM(W7:W$42)-SUM(X7:X$42)</f>
        <v>181357.6981355522</v>
      </c>
      <c r="AE7" s="10">
        <f t="shared" si="23"/>
        <v>0</v>
      </c>
      <c r="AF7" s="10">
        <f t="shared" si="24"/>
        <v>0</v>
      </c>
      <c r="AG7" s="10">
        <f t="shared" si="25"/>
        <v>0</v>
      </c>
      <c r="AH7" s="10">
        <f t="shared" si="26"/>
        <v>0</v>
      </c>
      <c r="AI7" s="10">
        <f>Podsumowanie!E$2-SUM(AK$5:AK6)+SUM(R7:R$42)-SUM(S7:S$42)</f>
        <v>400000</v>
      </c>
      <c r="AJ7" s="10">
        <f t="shared" si="27"/>
        <v>0</v>
      </c>
      <c r="AK7" s="10">
        <f t="shared" si="28"/>
        <v>0</v>
      </c>
      <c r="AL7" s="10">
        <f t="shared" si="29"/>
        <v>0</v>
      </c>
      <c r="AM7" s="10">
        <f t="shared" si="30"/>
        <v>0</v>
      </c>
      <c r="AO7" s="43">
        <f t="shared" si="31"/>
        <v>37316</v>
      </c>
      <c r="AP7" s="11">
        <f>AP$5+SUM(AS$5:AS6)-SUM(X$5:X7)+SUM(W$5:W7)</f>
        <v>175916.96719148563</v>
      </c>
      <c r="AQ7" s="10">
        <f t="shared" si="32"/>
        <v>0</v>
      </c>
      <c r="AR7" s="10">
        <f>IF(AB7=1,IF(Q7="tak",AQ7,PMT(M7/12,P7+1-SUM(AB$5:AB7),AP7)),0)</f>
        <v>0</v>
      </c>
      <c r="AS7" s="10">
        <f t="shared" si="33"/>
        <v>0</v>
      </c>
      <c r="AT7" s="10">
        <f t="shared" si="34"/>
        <v>0</v>
      </c>
      <c r="AV7" s="11">
        <f>AV$5+SUM(AX$5:AX6)+SUM(W$5:W6)-SUM(X$5:X6)</f>
        <v>175916.96719148563</v>
      </c>
      <c r="AW7" s="11">
        <f t="shared" si="35"/>
        <v>0</v>
      </c>
      <c r="AX7" s="11">
        <f t="shared" si="36"/>
        <v>0</v>
      </c>
      <c r="AY7" s="11">
        <f t="shared" si="37"/>
        <v>0</v>
      </c>
      <c r="AZ7" s="11">
        <f t="shared" si="38"/>
        <v>0</v>
      </c>
      <c r="BB7" s="191">
        <f t="shared" si="4"/>
        <v>0.1019</v>
      </c>
      <c r="BC7" s="44">
        <f>BB7+Podsumowanie!$E$6</f>
        <v>0.1139</v>
      </c>
      <c r="BD7" s="11">
        <f>BD$5+SUM(BE$5:BE6)+SUM(R$5:R6)-SUM(S$5:S6)</f>
        <v>400000</v>
      </c>
      <c r="BE7" s="10">
        <f t="shared" si="39"/>
        <v>0</v>
      </c>
      <c r="BF7" s="10">
        <f t="shared" si="40"/>
        <v>0</v>
      </c>
      <c r="BG7" s="10">
        <f>IF(U7&lt;0,PMT(BC7/12,Podsumowanie!E$8-SUM(AB$5:AB7)+1,BD7),0)</f>
        <v>0</v>
      </c>
      <c r="BI7" s="11">
        <f>BI$5+SUM(BK$5:BK6)+SUM(R$5:R6)-SUM(S$5:S6)</f>
        <v>400000</v>
      </c>
      <c r="BJ7" s="11">
        <f t="shared" si="5"/>
        <v>0</v>
      </c>
      <c r="BK7" s="11">
        <f t="shared" si="6"/>
        <v>0</v>
      </c>
      <c r="BL7" s="11">
        <f t="shared" si="7"/>
        <v>0</v>
      </c>
      <c r="BN7" s="44">
        <f t="shared" si="8"/>
        <v>0.114</v>
      </c>
      <c r="BO7" s="11">
        <f>BO$5+SUM(BP$5:BP6)+SUM(R$5:R6)-SUM(S$5:S6)+SUM(BS$5:BS6)</f>
        <v>400000</v>
      </c>
      <c r="BP7" s="10">
        <f aca="true" t="shared" si="46" ref="BP7:BP70">IF(BR7&lt;0,BR7-BQ7,0)</f>
        <v>0</v>
      </c>
      <c r="BQ7" s="10">
        <f aca="true" t="shared" si="47" ref="BQ7:BQ70">IF(BR7&lt;0,-BO7*BN7/12,0)</f>
        <v>0</v>
      </c>
      <c r="BR7" s="10">
        <f>IF(U7&lt;0,PMT(BN7/12,Podsumowanie!E$8-SUM(AB$5:AB7)+1,BO7),0)</f>
        <v>0</v>
      </c>
      <c r="BS7" s="10">
        <f t="shared" si="41"/>
        <v>0</v>
      </c>
      <c r="BU7" s="11">
        <f>BU$5+SUM(BW$5:BW6)+SUM(R$5:R6)-SUM(S$5:S6)+SUM(BY$5,BY6)</f>
        <v>400000</v>
      </c>
      <c r="BV7" s="10">
        <f t="shared" si="9"/>
        <v>0</v>
      </c>
      <c r="BW7" s="10">
        <f t="shared" si="10"/>
        <v>0</v>
      </c>
      <c r="BX7" s="10">
        <f aca="true" t="shared" si="48" ref="BX7:BX70">BW7+BV7</f>
        <v>0</v>
      </c>
      <c r="BY7" s="10">
        <f aca="true" t="shared" si="49" ref="BY7:BY70">$F7-BX7</f>
        <v>0</v>
      </c>
      <c r="CA7" s="10">
        <f>CA$5+SUM(CB$5:CB6)+SUM(R$5:R6)-SUM(S$5:S6)-SUM(CC$5:CC6)</f>
        <v>400000</v>
      </c>
      <c r="CB7" s="10">
        <f t="shared" si="42"/>
        <v>0</v>
      </c>
      <c r="CC7" s="10">
        <f t="shared" si="43"/>
        <v>0</v>
      </c>
      <c r="CD7" s="10">
        <f t="shared" si="44"/>
        <v>0</v>
      </c>
      <c r="CF7" s="44">
        <f t="shared" si="11"/>
        <v>0.9465</v>
      </c>
      <c r="CG7" s="10">
        <f t="shared" si="45"/>
        <v>0</v>
      </c>
      <c r="CH7" s="4">
        <f aca="true" t="shared" si="50" ref="CH7:CH70">ROUND(R7*CF7,2)</f>
        <v>0</v>
      </c>
    </row>
    <row r="8" spans="1:86" ht="15.75">
      <c r="A8" s="36"/>
      <c r="B8" s="113">
        <v>37347</v>
      </c>
      <c r="C8" s="77">
        <f t="shared" si="1"/>
        <v>2.4517</v>
      </c>
      <c r="D8" s="78">
        <f>C8*(1+Podsumowanie!E$11)</f>
        <v>2.5252510000000004</v>
      </c>
      <c r="E8" s="34">
        <f t="shared" si="12"/>
        <v>0</v>
      </c>
      <c r="F8" s="7">
        <f t="shared" si="13"/>
        <v>0</v>
      </c>
      <c r="G8" s="7">
        <f t="shared" si="14"/>
        <v>0</v>
      </c>
      <c r="H8" s="7">
        <f t="shared" si="15"/>
        <v>0</v>
      </c>
      <c r="I8" s="32"/>
      <c r="J8" s="4" t="str">
        <f t="shared" si="16"/>
        <v xml:space="preserve"> </v>
      </c>
      <c r="K8" s="4">
        <f>IF(B8&lt;Podsumowanie!E$7,0,K7+1)</f>
        <v>0</v>
      </c>
      <c r="L8" s="100">
        <f t="shared" si="2"/>
        <v>0.016283</v>
      </c>
      <c r="M8" s="38">
        <f>L8+Podsumowanie!E$6</f>
        <v>0.028283</v>
      </c>
      <c r="N8" s="101">
        <f>MAX(Podsumowanie!E$4+SUM(AA$5:AA7)-SUM(X$5:X8)+SUM(W$5:W8),0)</f>
        <v>181357.6981355522</v>
      </c>
      <c r="O8" s="102">
        <f>MAX(Podsumowanie!E$2+SUM(V$5:V7)-SUM(S$5:S8)+SUM(R$5:R8),0)</f>
        <v>400000</v>
      </c>
      <c r="P8" s="39">
        <f t="shared" si="17"/>
        <v>360</v>
      </c>
      <c r="Q8" s="40" t="str">
        <f>IF(AND(K8&gt;0,K8&lt;=Podsumowanie!E$9),"tak","nie")</f>
        <v>nie</v>
      </c>
      <c r="R8" s="41"/>
      <c r="S8" s="42"/>
      <c r="T8" s="88">
        <f t="shared" si="18"/>
        <v>0</v>
      </c>
      <c r="U8" s="89">
        <f>IF(Q8="tak",T8,IF(P8-SUM(AB$5:AB8)+1&gt;0,IF(Podsumowanie!E$7&lt;B8,IF(SUM(AB$5:AB8)-Podsumowanie!E$9+1&gt;0,PMT(M8/12,P8+1-SUM(AB$5:AB8),O8),T8),0),0))</f>
        <v>0</v>
      </c>
      <c r="V8" s="89">
        <f t="shared" si="19"/>
        <v>0</v>
      </c>
      <c r="W8" s="90" t="str">
        <f>IF(R8&gt;0,R8/(C8*(1-Podsumowanie!E$11))," ")</f>
        <v xml:space="preserve"> </v>
      </c>
      <c r="X8" s="90" t="str">
        <f t="shared" si="20"/>
        <v xml:space="preserve"> </v>
      </c>
      <c r="Y8" s="91">
        <f t="shared" si="21"/>
        <v>0</v>
      </c>
      <c r="Z8" s="90">
        <f>IF(P8-SUM(AB$5:AB8)+1&gt;0,IF(Podsumowanie!E$7&lt;B8,IF(SUM(AB$5:AB8)-Podsumowanie!E$9+1&gt;0,PMT(M8/12,P8+1-SUM(AB$5:AB8),N8),Y8),0),0)</f>
        <v>0</v>
      </c>
      <c r="AA8" s="90">
        <f t="shared" si="22"/>
        <v>0</v>
      </c>
      <c r="AB8" s="8" t="str">
        <f>IF(AND(Podsumowanie!E$7&lt;B8,SUM(AB$5:AB7)&lt;P7),1," ")</f>
        <v xml:space="preserve"> </v>
      </c>
      <c r="AD8" s="10">
        <f>Podsumowanie!E$4-SUM(AF$5:AF7)+SUM(W8:W$42)-SUM(X8:X$42)</f>
        <v>181357.6981355522</v>
      </c>
      <c r="AE8" s="10">
        <f t="shared" si="23"/>
        <v>0</v>
      </c>
      <c r="AF8" s="10">
        <f t="shared" si="24"/>
        <v>0</v>
      </c>
      <c r="AG8" s="10">
        <f t="shared" si="25"/>
        <v>0</v>
      </c>
      <c r="AH8" s="10">
        <f t="shared" si="26"/>
        <v>0</v>
      </c>
      <c r="AI8" s="10">
        <f>Podsumowanie!E$2-SUM(AK$5:AK7)+SUM(R8:R$42)-SUM(S8:S$42)</f>
        <v>400000</v>
      </c>
      <c r="AJ8" s="10">
        <f t="shared" si="27"/>
        <v>0</v>
      </c>
      <c r="AK8" s="10">
        <f t="shared" si="28"/>
        <v>0</v>
      </c>
      <c r="AL8" s="10">
        <f t="shared" si="29"/>
        <v>0</v>
      </c>
      <c r="AM8" s="10">
        <f t="shared" si="30"/>
        <v>0</v>
      </c>
      <c r="AO8" s="43">
        <f t="shared" si="31"/>
        <v>37347</v>
      </c>
      <c r="AP8" s="11">
        <f>AP$5+SUM(AS$5:AS7)-SUM(X$5:X8)+SUM(W$5:W8)</f>
        <v>175916.96719148563</v>
      </c>
      <c r="AQ8" s="10">
        <f t="shared" si="32"/>
        <v>0</v>
      </c>
      <c r="AR8" s="10">
        <f>IF(AB8=1,IF(Q8="tak",AQ8,PMT(M8/12,P8+1-SUM(AB$5:AB8),AP8)),0)</f>
        <v>0</v>
      </c>
      <c r="AS8" s="10">
        <f t="shared" si="33"/>
        <v>0</v>
      </c>
      <c r="AT8" s="10">
        <f t="shared" si="34"/>
        <v>0</v>
      </c>
      <c r="AV8" s="11">
        <f>AV$5+SUM(AX$5:AX7)+SUM(W$5:W7)-SUM(X$5:X7)</f>
        <v>175916.96719148563</v>
      </c>
      <c r="AW8" s="11">
        <f t="shared" si="35"/>
        <v>0</v>
      </c>
      <c r="AX8" s="11">
        <f t="shared" si="36"/>
        <v>0</v>
      </c>
      <c r="AY8" s="11">
        <f t="shared" si="37"/>
        <v>0</v>
      </c>
      <c r="AZ8" s="11">
        <f t="shared" si="38"/>
        <v>0</v>
      </c>
      <c r="BB8" s="191">
        <f t="shared" si="4"/>
        <v>0.1034</v>
      </c>
      <c r="BC8" s="44">
        <f>BB8+Podsumowanie!$E$6</f>
        <v>0.1154</v>
      </c>
      <c r="BD8" s="11">
        <f>BD$5+SUM(BE$5:BE7)+SUM(R$5:R7)-SUM(S$5:S7)</f>
        <v>400000</v>
      </c>
      <c r="BE8" s="10">
        <f t="shared" si="39"/>
        <v>0</v>
      </c>
      <c r="BF8" s="10">
        <f t="shared" si="40"/>
        <v>0</v>
      </c>
      <c r="BG8" s="10">
        <f>IF(U8&lt;0,PMT(BC8/12,Podsumowanie!E$8-SUM(AB$5:AB8)+1,BD8),0)</f>
        <v>0</v>
      </c>
      <c r="BI8" s="11">
        <f>BI$5+SUM(BK$5:BK7)+SUM(R$5:R7)-SUM(S$5:S7)</f>
        <v>400000</v>
      </c>
      <c r="BJ8" s="11">
        <f t="shared" si="5"/>
        <v>0</v>
      </c>
      <c r="BK8" s="11">
        <f t="shared" si="6"/>
        <v>0</v>
      </c>
      <c r="BL8" s="11">
        <f t="shared" si="7"/>
        <v>0</v>
      </c>
      <c r="BN8" s="44">
        <f t="shared" si="8"/>
        <v>0.1155</v>
      </c>
      <c r="BO8" s="11">
        <f>BO$5+SUM(BP$5:BP7)+SUM(R$5:R7)-SUM(S$5:S7)+SUM(BS$5:BS7)</f>
        <v>400000</v>
      </c>
      <c r="BP8" s="10">
        <f t="shared" si="46"/>
        <v>0</v>
      </c>
      <c r="BQ8" s="10">
        <f t="shared" si="47"/>
        <v>0</v>
      </c>
      <c r="BR8" s="10">
        <f>IF(U8&lt;0,PMT(BN8/12,Podsumowanie!E$8-SUM(AB$5:AB8)+1,BO8),0)</f>
        <v>0</v>
      </c>
      <c r="BS8" s="10">
        <f t="shared" si="41"/>
        <v>0</v>
      </c>
      <c r="BU8" s="11">
        <f>BU$5+SUM(BW$5:BW7)+SUM(R$5:R7)-SUM(S$5:S7)+SUM(BY$5,BY7)</f>
        <v>400000</v>
      </c>
      <c r="BV8" s="10">
        <f t="shared" si="9"/>
        <v>0</v>
      </c>
      <c r="BW8" s="10">
        <f t="shared" si="10"/>
        <v>0</v>
      </c>
      <c r="BX8" s="10">
        <f t="shared" si="48"/>
        <v>0</v>
      </c>
      <c r="BY8" s="10">
        <f t="shared" si="49"/>
        <v>0</v>
      </c>
      <c r="CA8" s="10">
        <f>CA$5+SUM(CB$5:CB7)+SUM(R$5:R7)-SUM(S$5:S7)-SUM(CC$5:CC7)</f>
        <v>400000</v>
      </c>
      <c r="CB8" s="10">
        <f t="shared" si="42"/>
        <v>0</v>
      </c>
      <c r="CC8" s="10">
        <f t="shared" si="43"/>
        <v>0</v>
      </c>
      <c r="CD8" s="10">
        <f t="shared" si="44"/>
        <v>0</v>
      </c>
      <c r="CF8" s="44">
        <f t="shared" si="11"/>
        <v>0.9369</v>
      </c>
      <c r="CG8" s="10">
        <f t="shared" si="45"/>
        <v>0</v>
      </c>
      <c r="CH8" s="4">
        <f t="shared" si="50"/>
        <v>0</v>
      </c>
    </row>
    <row r="9" spans="1:86" ht="15.75">
      <c r="A9" s="36"/>
      <c r="B9" s="113">
        <v>37377</v>
      </c>
      <c r="C9" s="77">
        <f t="shared" si="1"/>
        <v>2.5422</v>
      </c>
      <c r="D9" s="78">
        <f>C9*(1+Podsumowanie!E$11)</f>
        <v>2.6184659999999997</v>
      </c>
      <c r="E9" s="34">
        <f t="shared" si="12"/>
        <v>0</v>
      </c>
      <c r="F9" s="7">
        <f t="shared" si="13"/>
        <v>0</v>
      </c>
      <c r="G9" s="7">
        <f t="shared" si="14"/>
        <v>0</v>
      </c>
      <c r="H9" s="7">
        <f t="shared" si="15"/>
        <v>0</v>
      </c>
      <c r="I9" s="32"/>
      <c r="J9" s="4" t="str">
        <f t="shared" si="16"/>
        <v xml:space="preserve"> </v>
      </c>
      <c r="K9" s="4">
        <f>IF(B9&lt;Podsumowanie!E$7,0,K8+1)</f>
        <v>0</v>
      </c>
      <c r="L9" s="100">
        <f t="shared" si="2"/>
        <v>0.015</v>
      </c>
      <c r="M9" s="38">
        <f>L9+Podsumowanie!E$6</f>
        <v>0.027</v>
      </c>
      <c r="N9" s="101">
        <f>MAX(Podsumowanie!E$4+SUM(AA$5:AA8)-SUM(X$5:X9)+SUM(W$5:W9),0)</f>
        <v>181357.6981355522</v>
      </c>
      <c r="O9" s="102">
        <f>MAX(Podsumowanie!E$2+SUM(V$5:V8)-SUM(S$5:S9)+SUM(R$5:R9),0)</f>
        <v>400000</v>
      </c>
      <c r="P9" s="39">
        <f t="shared" si="17"/>
        <v>360</v>
      </c>
      <c r="Q9" s="40" t="str">
        <f>IF(AND(K9&gt;0,K9&lt;=Podsumowanie!E$9),"tak","nie")</f>
        <v>nie</v>
      </c>
      <c r="R9" s="41"/>
      <c r="S9" s="42"/>
      <c r="T9" s="88">
        <f t="shared" si="18"/>
        <v>0</v>
      </c>
      <c r="U9" s="89">
        <f>IF(Q9="tak",T9,IF(P9-SUM(AB$5:AB9)+1&gt;0,IF(Podsumowanie!E$7&lt;B9,IF(SUM(AB$5:AB9)-Podsumowanie!E$9+1&gt;0,PMT(M9/12,P9+1-SUM(AB$5:AB9),O9),T9),0),0))</f>
        <v>0</v>
      </c>
      <c r="V9" s="89">
        <f t="shared" si="19"/>
        <v>0</v>
      </c>
      <c r="W9" s="90" t="str">
        <f>IF(R9&gt;0,R9/(C9*(1-Podsumowanie!E$11))," ")</f>
        <v xml:space="preserve"> </v>
      </c>
      <c r="X9" s="90" t="str">
        <f t="shared" si="20"/>
        <v xml:space="preserve"> </v>
      </c>
      <c r="Y9" s="91">
        <f t="shared" si="21"/>
        <v>0</v>
      </c>
      <c r="Z9" s="90">
        <f>IF(P9-SUM(AB$5:AB9)+1&gt;0,IF(Podsumowanie!E$7&lt;B9,IF(SUM(AB$5:AB9)-Podsumowanie!E$9+1&gt;0,PMT(M9/12,P9+1-SUM(AB$5:AB9),N9),Y9),0),0)</f>
        <v>0</v>
      </c>
      <c r="AA9" s="90">
        <f t="shared" si="22"/>
        <v>0</v>
      </c>
      <c r="AB9" s="8" t="str">
        <f>IF(AND(Podsumowanie!E$7&lt;B9,SUM(AB$5:AB8)&lt;P8),1," ")</f>
        <v xml:space="preserve"> </v>
      </c>
      <c r="AD9" s="10">
        <f>Podsumowanie!E$4-SUM(AF$5:AF8)+SUM(W9:W$42)-SUM(X9:X$42)</f>
        <v>181357.6981355522</v>
      </c>
      <c r="AE9" s="10">
        <f t="shared" si="23"/>
        <v>0</v>
      </c>
      <c r="AF9" s="10">
        <f t="shared" si="24"/>
        <v>0</v>
      </c>
      <c r="AG9" s="10">
        <f t="shared" si="25"/>
        <v>0</v>
      </c>
      <c r="AH9" s="10">
        <f t="shared" si="26"/>
        <v>0</v>
      </c>
      <c r="AI9" s="10">
        <f>Podsumowanie!E$2-SUM(AK$5:AK8)+SUM(R9:R$42)-SUM(S9:S$42)</f>
        <v>400000</v>
      </c>
      <c r="AJ9" s="10">
        <f t="shared" si="27"/>
        <v>0</v>
      </c>
      <c r="AK9" s="10">
        <f t="shared" si="28"/>
        <v>0</v>
      </c>
      <c r="AL9" s="10">
        <f t="shared" si="29"/>
        <v>0</v>
      </c>
      <c r="AM9" s="10">
        <f t="shared" si="30"/>
        <v>0</v>
      </c>
      <c r="AO9" s="43">
        <f t="shared" si="31"/>
        <v>37377</v>
      </c>
      <c r="AP9" s="11">
        <f>AP$5+SUM(AS$5:AS8)-SUM(X$5:X9)+SUM(W$5:W9)</f>
        <v>175916.96719148563</v>
      </c>
      <c r="AQ9" s="10">
        <f t="shared" si="32"/>
        <v>0</v>
      </c>
      <c r="AR9" s="10">
        <f>IF(AB9=1,IF(Q9="tak",AQ9,PMT(M9/12,P9+1-SUM(AB$5:AB9),AP9)),0)</f>
        <v>0</v>
      </c>
      <c r="AS9" s="10">
        <f t="shared" si="33"/>
        <v>0</v>
      </c>
      <c r="AT9" s="10">
        <f t="shared" si="34"/>
        <v>0</v>
      </c>
      <c r="AV9" s="11">
        <f>AV$5+SUM(AX$5:AX8)+SUM(W$5:W8)-SUM(X$5:X8)</f>
        <v>175916.96719148563</v>
      </c>
      <c r="AW9" s="11">
        <f t="shared" si="35"/>
        <v>0</v>
      </c>
      <c r="AX9" s="11">
        <f t="shared" si="36"/>
        <v>0</v>
      </c>
      <c r="AY9" s="11">
        <f t="shared" si="37"/>
        <v>0</v>
      </c>
      <c r="AZ9" s="11">
        <f t="shared" si="38"/>
        <v>0</v>
      </c>
      <c r="BB9" s="191">
        <f t="shared" si="4"/>
        <v>0.101</v>
      </c>
      <c r="BC9" s="44">
        <f>BB9+Podsumowanie!$E$6</f>
        <v>0.113</v>
      </c>
      <c r="BD9" s="11">
        <f>BD$5+SUM(BE$5:BE8)+SUM(R$5:R8)-SUM(S$5:S8)</f>
        <v>400000</v>
      </c>
      <c r="BE9" s="10">
        <f t="shared" si="39"/>
        <v>0</v>
      </c>
      <c r="BF9" s="10">
        <f t="shared" si="40"/>
        <v>0</v>
      </c>
      <c r="BG9" s="10">
        <f>IF(U9&lt;0,PMT(BC9/12,Podsumowanie!E$8-SUM(AB$5:AB9)+1,BD9),0)</f>
        <v>0</v>
      </c>
      <c r="BI9" s="11">
        <f>BI$5+SUM(BK$5:BK8)+SUM(R$5:R8)-SUM(S$5:S8)</f>
        <v>400000</v>
      </c>
      <c r="BJ9" s="11">
        <f t="shared" si="5"/>
        <v>0</v>
      </c>
      <c r="BK9" s="11">
        <f t="shared" si="6"/>
        <v>0</v>
      </c>
      <c r="BL9" s="11">
        <f t="shared" si="7"/>
        <v>0</v>
      </c>
      <c r="BN9" s="44">
        <f t="shared" si="8"/>
        <v>0.1131</v>
      </c>
      <c r="BO9" s="11">
        <f>BO$5+SUM(BP$5:BP8)+SUM(R$5:R8)-SUM(S$5:S8)+SUM(BS$5:BS8)</f>
        <v>400000</v>
      </c>
      <c r="BP9" s="10">
        <f t="shared" si="46"/>
        <v>0</v>
      </c>
      <c r="BQ9" s="10">
        <f t="shared" si="47"/>
        <v>0</v>
      </c>
      <c r="BR9" s="10">
        <f>IF(U9&lt;0,PMT(BN9/12,Podsumowanie!E$8-SUM(AB$5:AB9)+1,BO9),0)</f>
        <v>0</v>
      </c>
      <c r="BS9" s="10">
        <f t="shared" si="41"/>
        <v>0</v>
      </c>
      <c r="BU9" s="11">
        <f>BU$5+SUM(BW$5:BW8)+SUM(R$5:R8)-SUM(S$5:S8)+SUM(BY$5,BY8)</f>
        <v>400000</v>
      </c>
      <c r="BV9" s="10">
        <f t="shared" si="9"/>
        <v>0</v>
      </c>
      <c r="BW9" s="10">
        <f t="shared" si="10"/>
        <v>0</v>
      </c>
      <c r="BX9" s="10">
        <f t="shared" si="48"/>
        <v>0</v>
      </c>
      <c r="BY9" s="10">
        <f t="shared" si="49"/>
        <v>0</v>
      </c>
      <c r="CA9" s="10">
        <f>CA$5+SUM(CB$5:CB8)+SUM(R$5:R8)-SUM(S$5:S8)-SUM(CC$5:CC8)</f>
        <v>400000</v>
      </c>
      <c r="CB9" s="10">
        <f t="shared" si="42"/>
        <v>0</v>
      </c>
      <c r="CC9" s="10">
        <f t="shared" si="43"/>
        <v>0</v>
      </c>
      <c r="CD9" s="10">
        <f t="shared" si="44"/>
        <v>0</v>
      </c>
      <c r="CF9" s="44">
        <f t="shared" si="11"/>
        <v>0.9407</v>
      </c>
      <c r="CG9" s="10">
        <f t="shared" si="45"/>
        <v>0</v>
      </c>
      <c r="CH9" s="4">
        <f t="shared" si="50"/>
        <v>0</v>
      </c>
    </row>
    <row r="10" spans="1:86" ht="15.75">
      <c r="A10" s="36"/>
      <c r="B10" s="113">
        <v>37408</v>
      </c>
      <c r="C10" s="77">
        <f t="shared" si="1"/>
        <v>2.6149</v>
      </c>
      <c r="D10" s="78">
        <f>C10*(1+Podsumowanie!E$11)</f>
        <v>2.693347</v>
      </c>
      <c r="E10" s="34">
        <f t="shared" si="12"/>
        <v>0</v>
      </c>
      <c r="F10" s="7">
        <f t="shared" si="13"/>
        <v>0</v>
      </c>
      <c r="G10" s="7">
        <f t="shared" si="14"/>
        <v>0</v>
      </c>
      <c r="H10" s="7">
        <f t="shared" si="15"/>
        <v>0</v>
      </c>
      <c r="I10" s="32"/>
      <c r="J10" s="4" t="str">
        <f t="shared" si="16"/>
        <v xml:space="preserve"> </v>
      </c>
      <c r="K10" s="4">
        <f>IF(B10&lt;Podsumowanie!E$7,0,K9+1)</f>
        <v>0</v>
      </c>
      <c r="L10" s="100">
        <f t="shared" si="2"/>
        <v>0.012533</v>
      </c>
      <c r="M10" s="38">
        <f>L10+Podsumowanie!E$6</f>
        <v>0.024533</v>
      </c>
      <c r="N10" s="101">
        <f>MAX(Podsumowanie!E$4+SUM(AA$5:AA9)-SUM(X$5:X10)+SUM(W$5:W10),0)</f>
        <v>181357.6981355522</v>
      </c>
      <c r="O10" s="102">
        <f>MAX(Podsumowanie!E$2+SUM(V$5:V9)-SUM(S$5:S10)+SUM(R$5:R10),0)</f>
        <v>400000</v>
      </c>
      <c r="P10" s="39">
        <f t="shared" si="17"/>
        <v>360</v>
      </c>
      <c r="Q10" s="40" t="str">
        <f>IF(AND(K10&gt;0,K10&lt;=Podsumowanie!E$9),"tak","nie")</f>
        <v>nie</v>
      </c>
      <c r="R10" s="41"/>
      <c r="S10" s="42"/>
      <c r="T10" s="88">
        <f t="shared" si="18"/>
        <v>0</v>
      </c>
      <c r="U10" s="89">
        <f>IF(Q10="tak",T10,IF(P10-SUM(AB$5:AB10)+1&gt;0,IF(Podsumowanie!E$7&lt;B10,IF(SUM(AB$5:AB10)-Podsumowanie!E$9+1&gt;0,PMT(M10/12,P10+1-SUM(AB$5:AB10),O10),T10),0),0))</f>
        <v>0</v>
      </c>
      <c r="V10" s="89">
        <f t="shared" si="19"/>
        <v>0</v>
      </c>
      <c r="W10" s="90" t="str">
        <f>IF(R10&gt;0,R10/(C10*(1-Podsumowanie!E$11))," ")</f>
        <v xml:space="preserve"> </v>
      </c>
      <c r="X10" s="90" t="str">
        <f t="shared" si="20"/>
        <v xml:space="preserve"> </v>
      </c>
      <c r="Y10" s="91">
        <f t="shared" si="21"/>
        <v>0</v>
      </c>
      <c r="Z10" s="90">
        <f>IF(P10-SUM(AB$5:AB10)+1&gt;0,IF(Podsumowanie!E$7&lt;B10,IF(SUM(AB$5:AB10)-Podsumowanie!E$9+1&gt;0,PMT(M10/12,P10+1-SUM(AB$5:AB10),N10),Y10),0),0)</f>
        <v>0</v>
      </c>
      <c r="AA10" s="90">
        <f t="shared" si="22"/>
        <v>0</v>
      </c>
      <c r="AB10" s="8" t="str">
        <f>IF(AND(Podsumowanie!E$7&lt;B10,SUM(AB$5:AB9)&lt;P9),1," ")</f>
        <v xml:space="preserve"> </v>
      </c>
      <c r="AD10" s="10">
        <f>Podsumowanie!E$4-SUM(AF$5:AF9)+SUM(W10:W$42)-SUM(X10:X$42)</f>
        <v>181357.6981355522</v>
      </c>
      <c r="AE10" s="10">
        <f t="shared" si="23"/>
        <v>0</v>
      </c>
      <c r="AF10" s="10">
        <f t="shared" si="24"/>
        <v>0</v>
      </c>
      <c r="AG10" s="10">
        <f t="shared" si="25"/>
        <v>0</v>
      </c>
      <c r="AH10" s="10">
        <f t="shared" si="26"/>
        <v>0</v>
      </c>
      <c r="AI10" s="10">
        <f>Podsumowanie!E$2-SUM(AK$5:AK9)+SUM(R10:R$42)-SUM(S10:S$42)</f>
        <v>400000</v>
      </c>
      <c r="AJ10" s="10">
        <f t="shared" si="27"/>
        <v>0</v>
      </c>
      <c r="AK10" s="10">
        <f t="shared" si="28"/>
        <v>0</v>
      </c>
      <c r="AL10" s="10">
        <f t="shared" si="29"/>
        <v>0</v>
      </c>
      <c r="AM10" s="10">
        <f t="shared" si="30"/>
        <v>0</v>
      </c>
      <c r="AO10" s="43">
        <f t="shared" si="31"/>
        <v>37408</v>
      </c>
      <c r="AP10" s="11">
        <f>AP$5+SUM(AS$5:AS9)-SUM(X$5:X10)+SUM(W$5:W10)</f>
        <v>175916.96719148563</v>
      </c>
      <c r="AQ10" s="10">
        <f t="shared" si="32"/>
        <v>0</v>
      </c>
      <c r="AR10" s="10">
        <f>IF(AB10=1,IF(Q10="tak",AQ10,PMT(M10/12,P10+1-SUM(AB$5:AB10),AP10)),0)</f>
        <v>0</v>
      </c>
      <c r="AS10" s="10">
        <f t="shared" si="33"/>
        <v>0</v>
      </c>
      <c r="AT10" s="10">
        <f t="shared" si="34"/>
        <v>0</v>
      </c>
      <c r="AV10" s="11">
        <f>AV$5+SUM(AX$5:AX9)+SUM(W$5:W9)-SUM(X$5:X9)</f>
        <v>175916.96719148563</v>
      </c>
      <c r="AW10" s="11">
        <f t="shared" si="35"/>
        <v>0</v>
      </c>
      <c r="AX10" s="11">
        <f t="shared" si="36"/>
        <v>0</v>
      </c>
      <c r="AY10" s="11">
        <f t="shared" si="37"/>
        <v>0</v>
      </c>
      <c r="AZ10" s="11">
        <f t="shared" si="38"/>
        <v>0</v>
      </c>
      <c r="BB10" s="191">
        <f t="shared" si="4"/>
        <v>0.096</v>
      </c>
      <c r="BC10" s="44">
        <f>BB10+Podsumowanie!$E$6</f>
        <v>0.108</v>
      </c>
      <c r="BD10" s="11">
        <f>BD$5+SUM(BE$5:BE9)+SUM(R$5:R9)-SUM(S$5:S9)</f>
        <v>400000</v>
      </c>
      <c r="BE10" s="10">
        <f t="shared" si="39"/>
        <v>0</v>
      </c>
      <c r="BF10" s="10">
        <f t="shared" si="40"/>
        <v>0</v>
      </c>
      <c r="BG10" s="10">
        <f>IF(U10&lt;0,PMT(BC10/12,Podsumowanie!E$8-SUM(AB$5:AB10)+1,BD10),0)</f>
        <v>0</v>
      </c>
      <c r="BI10" s="11">
        <f>BI$5+SUM(BK$5:BK9)+SUM(R$5:R9)-SUM(S$5:S9)</f>
        <v>400000</v>
      </c>
      <c r="BJ10" s="11">
        <f t="shared" si="5"/>
        <v>0</v>
      </c>
      <c r="BK10" s="11">
        <f t="shared" si="6"/>
        <v>0</v>
      </c>
      <c r="BL10" s="11">
        <f t="shared" si="7"/>
        <v>0</v>
      </c>
      <c r="BN10" s="44">
        <f t="shared" si="8"/>
        <v>0.1081</v>
      </c>
      <c r="BO10" s="11">
        <f>BO$5+SUM(BP$5:BP9)+SUM(R$5:R9)-SUM(S$5:S9)+SUM(BS$5:BS9)</f>
        <v>400000</v>
      </c>
      <c r="BP10" s="10">
        <f t="shared" si="46"/>
        <v>0</v>
      </c>
      <c r="BQ10" s="10">
        <f t="shared" si="47"/>
        <v>0</v>
      </c>
      <c r="BR10" s="10">
        <f>IF(U10&lt;0,PMT(BN10/12,Podsumowanie!E$8-SUM(AB$5:AB10)+1,BO10),0)</f>
        <v>0</v>
      </c>
      <c r="BS10" s="10">
        <f t="shared" si="41"/>
        <v>0</v>
      </c>
      <c r="BU10" s="11">
        <f>BU$5+SUM(BW$5:BW9)+SUM(R$5:R9)-SUM(S$5:S9)+SUM(BY$5,BY9)</f>
        <v>400000</v>
      </c>
      <c r="BV10" s="10">
        <f t="shared" si="9"/>
        <v>0</v>
      </c>
      <c r="BW10" s="10">
        <f t="shared" si="10"/>
        <v>0</v>
      </c>
      <c r="BX10" s="10">
        <f t="shared" si="48"/>
        <v>0</v>
      </c>
      <c r="BY10" s="10">
        <f t="shared" si="49"/>
        <v>0</v>
      </c>
      <c r="CA10" s="10">
        <f>CA$5+SUM(CB$5:CB9)+SUM(R$5:R9)-SUM(S$5:S9)-SUM(CC$5:CC9)</f>
        <v>400000</v>
      </c>
      <c r="CB10" s="10">
        <f t="shared" si="42"/>
        <v>0</v>
      </c>
      <c r="CC10" s="10">
        <f t="shared" si="43"/>
        <v>0</v>
      </c>
      <c r="CD10" s="10">
        <f t="shared" si="44"/>
        <v>0</v>
      </c>
      <c r="CF10" s="44">
        <f t="shared" si="11"/>
        <v>0.9485</v>
      </c>
      <c r="CG10" s="10">
        <f t="shared" si="45"/>
        <v>0</v>
      </c>
      <c r="CH10" s="4">
        <f t="shared" si="50"/>
        <v>0</v>
      </c>
    </row>
    <row r="11" spans="1:86" ht="15.75">
      <c r="A11" s="36"/>
      <c r="B11" s="113">
        <v>37438</v>
      </c>
      <c r="C11" s="77">
        <f t="shared" si="1"/>
        <v>2.7957</v>
      </c>
      <c r="D11" s="78">
        <f>C11*(1+Podsumowanie!E$11)</f>
        <v>2.8795710000000003</v>
      </c>
      <c r="E11" s="34">
        <f t="shared" si="12"/>
        <v>0</v>
      </c>
      <c r="F11" s="7">
        <f t="shared" si="13"/>
        <v>0</v>
      </c>
      <c r="G11" s="7">
        <f t="shared" si="14"/>
        <v>0</v>
      </c>
      <c r="H11" s="7">
        <f t="shared" si="15"/>
        <v>0</v>
      </c>
      <c r="I11" s="32"/>
      <c r="J11" s="4" t="str">
        <f t="shared" si="16"/>
        <v xml:space="preserve"> </v>
      </c>
      <c r="K11" s="4">
        <f>IF(B11&lt;Podsumowanie!E$7,0,K10+1)</f>
        <v>0</v>
      </c>
      <c r="L11" s="100">
        <f t="shared" si="2"/>
        <v>0.012333</v>
      </c>
      <c r="M11" s="38">
        <f>L11+Podsumowanie!E$6</f>
        <v>0.024333</v>
      </c>
      <c r="N11" s="101">
        <f>MAX(Podsumowanie!E$4+SUM(AA$5:AA10)-SUM(X$5:X11)+SUM(W$5:W11),0)</f>
        <v>181357.6981355522</v>
      </c>
      <c r="O11" s="102">
        <f>MAX(Podsumowanie!E$2+SUM(V$5:V10)-SUM(S$5:S11)+SUM(R$5:R11),0)</f>
        <v>400000</v>
      </c>
      <c r="P11" s="39">
        <f t="shared" si="17"/>
        <v>360</v>
      </c>
      <c r="Q11" s="40" t="str">
        <f>IF(AND(K11&gt;0,K11&lt;=Podsumowanie!E$9),"tak","nie")</f>
        <v>nie</v>
      </c>
      <c r="R11" s="41"/>
      <c r="S11" s="42"/>
      <c r="T11" s="88">
        <f t="shared" si="18"/>
        <v>0</v>
      </c>
      <c r="U11" s="89">
        <f>IF(Q11="tak",T11,IF(P11-SUM(AB$5:AB11)+1&gt;0,IF(Podsumowanie!E$7&lt;B11,IF(SUM(AB$5:AB11)-Podsumowanie!E$9+1&gt;0,PMT(M11/12,P11+1-SUM(AB$5:AB11),O11),T11),0),0))</f>
        <v>0</v>
      </c>
      <c r="V11" s="89">
        <f t="shared" si="19"/>
        <v>0</v>
      </c>
      <c r="W11" s="90" t="str">
        <f>IF(R11&gt;0,R11/(C11*(1-Podsumowanie!E$11))," ")</f>
        <v xml:space="preserve"> </v>
      </c>
      <c r="X11" s="90" t="str">
        <f t="shared" si="20"/>
        <v xml:space="preserve"> </v>
      </c>
      <c r="Y11" s="91">
        <f t="shared" si="21"/>
        <v>0</v>
      </c>
      <c r="Z11" s="90">
        <f>IF(P11-SUM(AB$5:AB11)+1&gt;0,IF(Podsumowanie!E$7&lt;B11,IF(SUM(AB$5:AB11)-Podsumowanie!E$9+1&gt;0,PMT(M11/12,P11+1-SUM(AB$5:AB11),N11),Y11),0),0)</f>
        <v>0</v>
      </c>
      <c r="AA11" s="90">
        <f t="shared" si="22"/>
        <v>0</v>
      </c>
      <c r="AB11" s="8" t="str">
        <f>IF(AND(Podsumowanie!E$7&lt;B11,SUM(AB$5:AB10)&lt;P10),1," ")</f>
        <v xml:space="preserve"> </v>
      </c>
      <c r="AD11" s="10">
        <f>Podsumowanie!E$4-SUM(AF$5:AF10)+SUM(W11:W$42)-SUM(X11:X$42)</f>
        <v>181357.6981355522</v>
      </c>
      <c r="AE11" s="10">
        <f t="shared" si="23"/>
        <v>0</v>
      </c>
      <c r="AF11" s="10">
        <f t="shared" si="24"/>
        <v>0</v>
      </c>
      <c r="AG11" s="10">
        <f t="shared" si="25"/>
        <v>0</v>
      </c>
      <c r="AH11" s="10">
        <f t="shared" si="26"/>
        <v>0</v>
      </c>
      <c r="AI11" s="10">
        <f>Podsumowanie!E$2-SUM(AK$5:AK10)+SUM(R11:R$42)-SUM(S11:S$42)</f>
        <v>400000</v>
      </c>
      <c r="AJ11" s="10">
        <f t="shared" si="27"/>
        <v>0</v>
      </c>
      <c r="AK11" s="10">
        <f t="shared" si="28"/>
        <v>0</v>
      </c>
      <c r="AL11" s="10">
        <f t="shared" si="29"/>
        <v>0</v>
      </c>
      <c r="AM11" s="10">
        <f t="shared" si="30"/>
        <v>0</v>
      </c>
      <c r="AO11" s="43">
        <f t="shared" si="31"/>
        <v>37438</v>
      </c>
      <c r="AP11" s="11">
        <f>AP$5+SUM(AS$5:AS10)-SUM(X$5:X11)+SUM(W$5:W11)</f>
        <v>175916.96719148563</v>
      </c>
      <c r="AQ11" s="10">
        <f t="shared" si="32"/>
        <v>0</v>
      </c>
      <c r="AR11" s="10">
        <f>IF(AB11=1,IF(Q11="tak",AQ11,PMT(M11/12,P11+1-SUM(AB$5:AB11),AP11)),0)</f>
        <v>0</v>
      </c>
      <c r="AS11" s="10">
        <f t="shared" si="33"/>
        <v>0</v>
      </c>
      <c r="AT11" s="10">
        <f t="shared" si="34"/>
        <v>0</v>
      </c>
      <c r="AV11" s="11">
        <f>AV$5+SUM(AX$5:AX10)+SUM(W$5:W10)-SUM(X$5:X10)</f>
        <v>175916.96719148563</v>
      </c>
      <c r="AW11" s="11">
        <f t="shared" si="35"/>
        <v>0</v>
      </c>
      <c r="AX11" s="11">
        <f t="shared" si="36"/>
        <v>0</v>
      </c>
      <c r="AY11" s="11">
        <f t="shared" si="37"/>
        <v>0</v>
      </c>
      <c r="AZ11" s="11">
        <f t="shared" si="38"/>
        <v>0</v>
      </c>
      <c r="BB11" s="191">
        <f t="shared" si="4"/>
        <v>0.0893</v>
      </c>
      <c r="BC11" s="44">
        <f>BB11+Podsumowanie!$E$6</f>
        <v>0.1013</v>
      </c>
      <c r="BD11" s="11">
        <f>BD$5+SUM(BE$5:BE10)+SUM(R$5:R10)-SUM(S$5:S10)</f>
        <v>400000</v>
      </c>
      <c r="BE11" s="10">
        <f t="shared" si="39"/>
        <v>0</v>
      </c>
      <c r="BF11" s="10">
        <f t="shared" si="40"/>
        <v>0</v>
      </c>
      <c r="BG11" s="10">
        <f>IF(U11&lt;0,PMT(BC11/12,Podsumowanie!E$8-SUM(AB$5:AB11)+1,BD11),0)</f>
        <v>0</v>
      </c>
      <c r="BI11" s="11">
        <f>BI$5+SUM(BK$5:BK10)+SUM(R$5:R10)-SUM(S$5:S10)</f>
        <v>400000</v>
      </c>
      <c r="BJ11" s="11">
        <f t="shared" si="5"/>
        <v>0</v>
      </c>
      <c r="BK11" s="11">
        <f t="shared" si="6"/>
        <v>0</v>
      </c>
      <c r="BL11" s="11">
        <f t="shared" si="7"/>
        <v>0</v>
      </c>
      <c r="BN11" s="44">
        <f t="shared" si="8"/>
        <v>0.1014</v>
      </c>
      <c r="BO11" s="11">
        <f>BO$5+SUM(BP$5:BP10)+SUM(R$5:R10)-SUM(S$5:S10)+SUM(BS$5:BS10)</f>
        <v>400000</v>
      </c>
      <c r="BP11" s="10">
        <f t="shared" si="46"/>
        <v>0</v>
      </c>
      <c r="BQ11" s="10">
        <f t="shared" si="47"/>
        <v>0</v>
      </c>
      <c r="BR11" s="10">
        <f>IF(U11&lt;0,PMT(BN11/12,Podsumowanie!E$8-SUM(AB$5:AB11)+1,BO11),0)</f>
        <v>0</v>
      </c>
      <c r="BS11" s="10">
        <f t="shared" si="41"/>
        <v>0</v>
      </c>
      <c r="BU11" s="11">
        <f>BU$5+SUM(BW$5:BW10)+SUM(R$5:R10)-SUM(S$5:S10)+SUM(BY$5,BY10)</f>
        <v>400000</v>
      </c>
      <c r="BV11" s="10">
        <f t="shared" si="9"/>
        <v>0</v>
      </c>
      <c r="BW11" s="10">
        <f t="shared" si="10"/>
        <v>0</v>
      </c>
      <c r="BX11" s="10">
        <f t="shared" si="48"/>
        <v>0</v>
      </c>
      <c r="BY11" s="10">
        <f t="shared" si="49"/>
        <v>0</v>
      </c>
      <c r="CA11" s="10">
        <f>CA$5+SUM(CB$5:CB10)+SUM(R$5:R10)-SUM(S$5:S10)-SUM(CC$5:CC10)</f>
        <v>400000</v>
      </c>
      <c r="CB11" s="10">
        <f t="shared" si="42"/>
        <v>0</v>
      </c>
      <c r="CC11" s="10">
        <f t="shared" si="43"/>
        <v>0</v>
      </c>
      <c r="CD11" s="10">
        <f t="shared" si="44"/>
        <v>0</v>
      </c>
      <c r="CF11" s="44">
        <f t="shared" si="11"/>
        <v>0.9583</v>
      </c>
      <c r="CG11" s="10">
        <f t="shared" si="45"/>
        <v>0</v>
      </c>
      <c r="CH11" s="4">
        <f t="shared" si="50"/>
        <v>0</v>
      </c>
    </row>
    <row r="12" spans="1:86" ht="15.75">
      <c r="A12" s="36"/>
      <c r="B12" s="113">
        <v>37469</v>
      </c>
      <c r="C12" s="77">
        <f t="shared" si="1"/>
        <v>2.7926</v>
      </c>
      <c r="D12" s="78">
        <f>C12*(1+Podsumowanie!E$11)</f>
        <v>2.8763780000000003</v>
      </c>
      <c r="E12" s="34">
        <f t="shared" si="12"/>
        <v>0</v>
      </c>
      <c r="F12" s="7">
        <f t="shared" si="13"/>
        <v>0</v>
      </c>
      <c r="G12" s="7">
        <f t="shared" si="14"/>
        <v>0</v>
      </c>
      <c r="H12" s="7">
        <f t="shared" si="15"/>
        <v>0</v>
      </c>
      <c r="I12" s="32"/>
      <c r="J12" s="4" t="str">
        <f t="shared" si="16"/>
        <v xml:space="preserve"> </v>
      </c>
      <c r="K12" s="4">
        <f>IF(B12&lt;Podsumowanie!E$7,0,K11+1)</f>
        <v>0</v>
      </c>
      <c r="L12" s="100">
        <f t="shared" si="2"/>
        <v>0.00795</v>
      </c>
      <c r="M12" s="38">
        <f>L12+Podsumowanie!E$6</f>
        <v>0.019950000000000002</v>
      </c>
      <c r="N12" s="101">
        <f>MAX(Podsumowanie!E$4+SUM(AA$5:AA11)-SUM(X$5:X12)+SUM(W$5:W12),0)</f>
        <v>181357.6981355522</v>
      </c>
      <c r="O12" s="102">
        <f>MAX(Podsumowanie!E$2+SUM(V$5:V11)-SUM(S$5:S12)+SUM(R$5:R12),0)</f>
        <v>400000</v>
      </c>
      <c r="P12" s="39">
        <f t="shared" si="17"/>
        <v>360</v>
      </c>
      <c r="Q12" s="40" t="str">
        <f>IF(AND(K12&gt;0,K12&lt;=Podsumowanie!E$9),"tak","nie")</f>
        <v>nie</v>
      </c>
      <c r="R12" s="41"/>
      <c r="S12" s="42"/>
      <c r="T12" s="88">
        <f t="shared" si="18"/>
        <v>0</v>
      </c>
      <c r="U12" s="89">
        <f>IF(Q12="tak",T12,IF(P12-SUM(AB$5:AB12)+1&gt;0,IF(Podsumowanie!E$7&lt;B12,IF(SUM(AB$5:AB12)-Podsumowanie!E$9+1&gt;0,PMT(M12/12,P12+1-SUM(AB$5:AB12),O12),T12),0),0))</f>
        <v>0</v>
      </c>
      <c r="V12" s="89">
        <f t="shared" si="19"/>
        <v>0</v>
      </c>
      <c r="W12" s="90" t="str">
        <f>IF(R12&gt;0,R12/(C12*(1-Podsumowanie!E$11))," ")</f>
        <v xml:space="preserve"> </v>
      </c>
      <c r="X12" s="90" t="str">
        <f t="shared" si="20"/>
        <v xml:space="preserve"> </v>
      </c>
      <c r="Y12" s="91">
        <f t="shared" si="21"/>
        <v>0</v>
      </c>
      <c r="Z12" s="90">
        <f>IF(P12-SUM(AB$5:AB12)+1&gt;0,IF(Podsumowanie!E$7&lt;B12,IF(SUM(AB$5:AB12)-Podsumowanie!E$9+1&gt;0,PMT(M12/12,P12+1-SUM(AB$5:AB12),N12),Y12),0),0)</f>
        <v>0</v>
      </c>
      <c r="AA12" s="90">
        <f t="shared" si="22"/>
        <v>0</v>
      </c>
      <c r="AB12" s="8" t="str">
        <f>IF(AND(Podsumowanie!E$7&lt;B12,SUM(AB$5:AB11)&lt;P11),1," ")</f>
        <v xml:space="preserve"> </v>
      </c>
      <c r="AD12" s="10">
        <f>Podsumowanie!E$4-SUM(AF$5:AF11)+SUM(W12:W$42)-SUM(X12:X$42)</f>
        <v>181357.6981355522</v>
      </c>
      <c r="AE12" s="10">
        <f t="shared" si="23"/>
        <v>0</v>
      </c>
      <c r="AF12" s="10">
        <f t="shared" si="24"/>
        <v>0</v>
      </c>
      <c r="AG12" s="10">
        <f t="shared" si="25"/>
        <v>0</v>
      </c>
      <c r="AH12" s="10">
        <f t="shared" si="26"/>
        <v>0</v>
      </c>
      <c r="AI12" s="10">
        <f>Podsumowanie!E$2-SUM(AK$5:AK11)+SUM(R12:R$42)-SUM(S12:S$42)</f>
        <v>400000</v>
      </c>
      <c r="AJ12" s="10">
        <f t="shared" si="27"/>
        <v>0</v>
      </c>
      <c r="AK12" s="10">
        <f t="shared" si="28"/>
        <v>0</v>
      </c>
      <c r="AL12" s="10">
        <f t="shared" si="29"/>
        <v>0</v>
      </c>
      <c r="AM12" s="10">
        <f t="shared" si="30"/>
        <v>0</v>
      </c>
      <c r="AO12" s="43">
        <f t="shared" si="31"/>
        <v>37469</v>
      </c>
      <c r="AP12" s="11">
        <f>AP$5+SUM(AS$5:AS11)-SUM(X$5:X12)+SUM(W$5:W12)</f>
        <v>175916.96719148563</v>
      </c>
      <c r="AQ12" s="10">
        <f t="shared" si="32"/>
        <v>0</v>
      </c>
      <c r="AR12" s="10">
        <f>IF(AB12=1,IF(Q12="tak",AQ12,PMT(M12/12,P12+1-SUM(AB$5:AB12),AP12)),0)</f>
        <v>0</v>
      </c>
      <c r="AS12" s="10">
        <f t="shared" si="33"/>
        <v>0</v>
      </c>
      <c r="AT12" s="10">
        <f t="shared" si="34"/>
        <v>0</v>
      </c>
      <c r="AV12" s="11">
        <f>AV$5+SUM(AX$5:AX11)+SUM(W$5:W11)-SUM(X$5:X11)</f>
        <v>175916.96719148563</v>
      </c>
      <c r="AW12" s="11">
        <f t="shared" si="35"/>
        <v>0</v>
      </c>
      <c r="AX12" s="11">
        <f t="shared" si="36"/>
        <v>0</v>
      </c>
      <c r="AY12" s="11">
        <f t="shared" si="37"/>
        <v>0</v>
      </c>
      <c r="AZ12" s="11">
        <f t="shared" si="38"/>
        <v>0</v>
      </c>
      <c r="BB12" s="191">
        <f t="shared" si="4"/>
        <v>0.0865</v>
      </c>
      <c r="BC12" s="44">
        <f>BB12+Podsumowanie!$E$6</f>
        <v>0.09849999999999999</v>
      </c>
      <c r="BD12" s="11">
        <f>BD$5+SUM(BE$5:BE11)+SUM(R$5:R11)-SUM(S$5:S11)</f>
        <v>400000</v>
      </c>
      <c r="BE12" s="10">
        <f t="shared" si="39"/>
        <v>0</v>
      </c>
      <c r="BF12" s="10">
        <f t="shared" si="40"/>
        <v>0</v>
      </c>
      <c r="BG12" s="10">
        <f>IF(U12&lt;0,PMT(BC12/12,Podsumowanie!E$8-SUM(AB$5:AB12)+1,BD12),0)</f>
        <v>0</v>
      </c>
      <c r="BI12" s="11">
        <f>BI$5+SUM(BK$5:BK11)+SUM(R$5:R11)-SUM(S$5:S11)</f>
        <v>400000</v>
      </c>
      <c r="BJ12" s="11">
        <f t="shared" si="5"/>
        <v>0</v>
      </c>
      <c r="BK12" s="11">
        <f t="shared" si="6"/>
        <v>0</v>
      </c>
      <c r="BL12" s="11">
        <f t="shared" si="7"/>
        <v>0</v>
      </c>
      <c r="BN12" s="44">
        <f t="shared" si="8"/>
        <v>0.0986</v>
      </c>
      <c r="BO12" s="11">
        <f>BO$5+SUM(BP$5:BP11)+SUM(R$5:R11)-SUM(S$5:S11)+SUM(BS$5:BS11)</f>
        <v>400000</v>
      </c>
      <c r="BP12" s="10">
        <f t="shared" si="46"/>
        <v>0</v>
      </c>
      <c r="BQ12" s="10">
        <f t="shared" si="47"/>
        <v>0</v>
      </c>
      <c r="BR12" s="10">
        <f>IF(U12&lt;0,PMT(BN12/12,Podsumowanie!E$8-SUM(AB$5:AB12)+1,BO12),0)</f>
        <v>0</v>
      </c>
      <c r="BS12" s="10">
        <f t="shared" si="41"/>
        <v>0</v>
      </c>
      <c r="BU12" s="11">
        <f>BU$5+SUM(BW$5:BW11)+SUM(R$5:R11)-SUM(S$5:S11)+SUM(BY$5,BY11)</f>
        <v>400000</v>
      </c>
      <c r="BV12" s="10">
        <f t="shared" si="9"/>
        <v>0</v>
      </c>
      <c r="BW12" s="10">
        <f t="shared" si="10"/>
        <v>0</v>
      </c>
      <c r="BX12" s="10">
        <f t="shared" si="48"/>
        <v>0</v>
      </c>
      <c r="BY12" s="10">
        <f t="shared" si="49"/>
        <v>0</v>
      </c>
      <c r="CA12" s="10">
        <f>CA$5+SUM(CB$5:CB11)+SUM(R$5:R11)-SUM(S$5:S11)-SUM(CC$5:CC11)</f>
        <v>400000</v>
      </c>
      <c r="CB12" s="10">
        <f t="shared" si="42"/>
        <v>0</v>
      </c>
      <c r="CC12" s="10">
        <f t="shared" si="43"/>
        <v>0</v>
      </c>
      <c r="CD12" s="10">
        <f t="shared" si="44"/>
        <v>0</v>
      </c>
      <c r="CF12" s="44">
        <f t="shared" si="11"/>
        <v>0.9662</v>
      </c>
      <c r="CG12" s="10">
        <f t="shared" si="45"/>
        <v>0</v>
      </c>
      <c r="CH12" s="4">
        <f t="shared" si="50"/>
        <v>0</v>
      </c>
    </row>
    <row r="13" spans="1:86" ht="15.75">
      <c r="A13" s="36"/>
      <c r="B13" s="113">
        <v>37500</v>
      </c>
      <c r="C13" s="77">
        <f t="shared" si="1"/>
        <v>2.7803</v>
      </c>
      <c r="D13" s="78">
        <f>C13*(1+Podsumowanie!E$11)</f>
        <v>2.863709</v>
      </c>
      <c r="E13" s="34">
        <f t="shared" si="12"/>
        <v>0</v>
      </c>
      <c r="F13" s="7">
        <f t="shared" si="13"/>
        <v>0</v>
      </c>
      <c r="G13" s="7">
        <f t="shared" si="14"/>
        <v>0</v>
      </c>
      <c r="H13" s="7">
        <f t="shared" si="15"/>
        <v>0</v>
      </c>
      <c r="I13" s="32"/>
      <c r="J13" s="4" t="str">
        <f t="shared" si="16"/>
        <v xml:space="preserve"> </v>
      </c>
      <c r="K13" s="4">
        <f>IF(B13&lt;Podsumowanie!E$7,0,K12+1)</f>
        <v>0</v>
      </c>
      <c r="L13" s="100">
        <f t="shared" si="2"/>
        <v>0.007467</v>
      </c>
      <c r="M13" s="38">
        <f>L13+Podsumowanie!E$6</f>
        <v>0.019466999999999998</v>
      </c>
      <c r="N13" s="101">
        <f>MAX(Podsumowanie!E$4+SUM(AA$5:AA12)-SUM(X$5:X13)+SUM(W$5:W13),0)</f>
        <v>181357.6981355522</v>
      </c>
      <c r="O13" s="102">
        <f>MAX(Podsumowanie!E$2+SUM(V$5:V12)-SUM(S$5:S13)+SUM(R$5:R13),0)</f>
        <v>400000</v>
      </c>
      <c r="P13" s="39">
        <f t="shared" si="17"/>
        <v>360</v>
      </c>
      <c r="Q13" s="40" t="str">
        <f>IF(AND(K13&gt;0,K13&lt;=Podsumowanie!E$9),"tak","nie")</f>
        <v>nie</v>
      </c>
      <c r="R13" s="41"/>
      <c r="S13" s="42"/>
      <c r="T13" s="88">
        <f t="shared" si="18"/>
        <v>0</v>
      </c>
      <c r="U13" s="89">
        <f>IF(Q13="tak",T13,IF(P13-SUM(AB$5:AB13)+1&gt;0,IF(Podsumowanie!E$7&lt;B13,IF(SUM(AB$5:AB13)-Podsumowanie!E$9+1&gt;0,PMT(M13/12,P13+1-SUM(AB$5:AB13),O13),T13),0),0))</f>
        <v>0</v>
      </c>
      <c r="V13" s="89">
        <f t="shared" si="19"/>
        <v>0</v>
      </c>
      <c r="W13" s="90" t="str">
        <f>IF(R13&gt;0,R13/(C13*(1-Podsumowanie!E$11))," ")</f>
        <v xml:space="preserve"> </v>
      </c>
      <c r="X13" s="90" t="str">
        <f t="shared" si="20"/>
        <v xml:space="preserve"> </v>
      </c>
      <c r="Y13" s="91">
        <f t="shared" si="21"/>
        <v>0</v>
      </c>
      <c r="Z13" s="90">
        <f>IF(P13-SUM(AB$5:AB13)+1&gt;0,IF(Podsumowanie!E$7&lt;B13,IF(SUM(AB$5:AB13)-Podsumowanie!E$9+1&gt;0,PMT(M13/12,P13+1-SUM(AB$5:AB13),N13),Y13),0),0)</f>
        <v>0</v>
      </c>
      <c r="AA13" s="90">
        <f t="shared" si="22"/>
        <v>0</v>
      </c>
      <c r="AB13" s="8" t="str">
        <f>IF(AND(Podsumowanie!E$7&lt;B13,SUM(AB$5:AB12)&lt;P12),1," ")</f>
        <v xml:space="preserve"> </v>
      </c>
      <c r="AD13" s="10">
        <f>Podsumowanie!E$4-SUM(AF$5:AF12)+SUM(W13:W$42)-SUM(X13:X$42)</f>
        <v>181357.6981355522</v>
      </c>
      <c r="AE13" s="10">
        <f t="shared" si="23"/>
        <v>0</v>
      </c>
      <c r="AF13" s="10">
        <f t="shared" si="24"/>
        <v>0</v>
      </c>
      <c r="AG13" s="10">
        <f t="shared" si="25"/>
        <v>0</v>
      </c>
      <c r="AH13" s="10">
        <f t="shared" si="26"/>
        <v>0</v>
      </c>
      <c r="AI13" s="10">
        <f>Podsumowanie!E$2-SUM(AK$5:AK12)+SUM(R13:R$42)-SUM(S13:S$42)</f>
        <v>400000</v>
      </c>
      <c r="AJ13" s="10">
        <f t="shared" si="27"/>
        <v>0</v>
      </c>
      <c r="AK13" s="10">
        <f t="shared" si="28"/>
        <v>0</v>
      </c>
      <c r="AL13" s="10">
        <f t="shared" si="29"/>
        <v>0</v>
      </c>
      <c r="AM13" s="10">
        <f t="shared" si="30"/>
        <v>0</v>
      </c>
      <c r="AO13" s="43">
        <f t="shared" si="31"/>
        <v>37500</v>
      </c>
      <c r="AP13" s="11">
        <f>AP$5+SUM(AS$5:AS12)-SUM(X$5:X13)+SUM(W$5:W13)</f>
        <v>175916.96719148563</v>
      </c>
      <c r="AQ13" s="10">
        <f t="shared" si="32"/>
        <v>0</v>
      </c>
      <c r="AR13" s="10">
        <f>IF(AB13=1,IF(Q13="tak",AQ13,PMT(M13/12,P13+1-SUM(AB$5:AB13),AP13)),0)</f>
        <v>0</v>
      </c>
      <c r="AS13" s="10">
        <f t="shared" si="33"/>
        <v>0</v>
      </c>
      <c r="AT13" s="10">
        <f t="shared" si="34"/>
        <v>0</v>
      </c>
      <c r="AV13" s="11">
        <f>AV$5+SUM(AX$5:AX12)+SUM(W$5:W12)-SUM(X$5:X12)</f>
        <v>175916.96719148563</v>
      </c>
      <c r="AW13" s="11">
        <f t="shared" si="35"/>
        <v>0</v>
      </c>
      <c r="AX13" s="11">
        <f t="shared" si="36"/>
        <v>0</v>
      </c>
      <c r="AY13" s="11">
        <f t="shared" si="37"/>
        <v>0</v>
      </c>
      <c r="AZ13" s="11">
        <f t="shared" si="38"/>
        <v>0</v>
      </c>
      <c r="BB13" s="191">
        <f t="shared" si="4"/>
        <v>0.0833</v>
      </c>
      <c r="BC13" s="44">
        <f>BB13+Podsumowanie!$E$6</f>
        <v>0.0953</v>
      </c>
      <c r="BD13" s="11">
        <f>BD$5+SUM(BE$5:BE12)+SUM(R$5:R12)-SUM(S$5:S12)</f>
        <v>400000</v>
      </c>
      <c r="BE13" s="10">
        <f t="shared" si="39"/>
        <v>0</v>
      </c>
      <c r="BF13" s="10">
        <f t="shared" si="40"/>
        <v>0</v>
      </c>
      <c r="BG13" s="10">
        <f>IF(U13&lt;0,PMT(BC13/12,Podsumowanie!E$8-SUM(AB$5:AB13)+1,BD13),0)</f>
        <v>0</v>
      </c>
      <c r="BI13" s="11">
        <f>BI$5+SUM(BK$5:BK12)+SUM(R$5:R12)-SUM(S$5:S12)</f>
        <v>400000</v>
      </c>
      <c r="BJ13" s="11">
        <f t="shared" si="5"/>
        <v>0</v>
      </c>
      <c r="BK13" s="11">
        <f t="shared" si="6"/>
        <v>0</v>
      </c>
      <c r="BL13" s="11">
        <f t="shared" si="7"/>
        <v>0</v>
      </c>
      <c r="BN13" s="44">
        <f t="shared" si="8"/>
        <v>0.0954</v>
      </c>
      <c r="BO13" s="11">
        <f>BO$5+SUM(BP$5:BP12)+SUM(R$5:R12)-SUM(S$5:S12)+SUM(BS$5:BS12)</f>
        <v>400000</v>
      </c>
      <c r="BP13" s="10">
        <f t="shared" si="46"/>
        <v>0</v>
      </c>
      <c r="BQ13" s="10">
        <f t="shared" si="47"/>
        <v>0</v>
      </c>
      <c r="BR13" s="10">
        <f>IF(U13&lt;0,PMT(BN13/12,Podsumowanie!E$8-SUM(AB$5:AB13)+1,BO13),0)</f>
        <v>0</v>
      </c>
      <c r="BS13" s="10">
        <f t="shared" si="41"/>
        <v>0</v>
      </c>
      <c r="BU13" s="11">
        <f>BU$5+SUM(BW$5:BW12)+SUM(R$5:R12)-SUM(S$5:S12)+SUM(BY$5,BY12)</f>
        <v>400000</v>
      </c>
      <c r="BV13" s="10">
        <f t="shared" si="9"/>
        <v>0</v>
      </c>
      <c r="BW13" s="10">
        <f t="shared" si="10"/>
        <v>0</v>
      </c>
      <c r="BX13" s="10">
        <f t="shared" si="48"/>
        <v>0</v>
      </c>
      <c r="BY13" s="10">
        <f t="shared" si="49"/>
        <v>0</v>
      </c>
      <c r="CA13" s="10">
        <f>CA$5+SUM(CB$5:CB12)+SUM(R$5:R12)-SUM(S$5:S12)-SUM(CC$5:CC12)</f>
        <v>400000</v>
      </c>
      <c r="CB13" s="10">
        <f t="shared" si="42"/>
        <v>0</v>
      </c>
      <c r="CC13" s="10">
        <f t="shared" si="43"/>
        <v>0</v>
      </c>
      <c r="CD13" s="10">
        <f t="shared" si="44"/>
        <v>0</v>
      </c>
      <c r="CF13" s="44">
        <f t="shared" si="11"/>
        <v>0.9603</v>
      </c>
      <c r="CG13" s="10">
        <f t="shared" si="45"/>
        <v>0</v>
      </c>
      <c r="CH13" s="4">
        <f t="shared" si="50"/>
        <v>0</v>
      </c>
    </row>
    <row r="14" spans="1:86" ht="15.75">
      <c r="A14" s="36"/>
      <c r="B14" s="113">
        <v>37530</v>
      </c>
      <c r="C14" s="77">
        <f t="shared" si="1"/>
        <v>2.7613</v>
      </c>
      <c r="D14" s="78">
        <f>C14*(1+Podsumowanie!E$11)</f>
        <v>2.8441389999999998</v>
      </c>
      <c r="E14" s="34">
        <f t="shared" si="12"/>
        <v>0</v>
      </c>
      <c r="F14" s="7">
        <f t="shared" si="13"/>
        <v>0</v>
      </c>
      <c r="G14" s="7">
        <f t="shared" si="14"/>
        <v>0</v>
      </c>
      <c r="H14" s="7">
        <f t="shared" si="15"/>
        <v>0</v>
      </c>
      <c r="I14" s="32"/>
      <c r="J14" s="4" t="str">
        <f t="shared" si="16"/>
        <v xml:space="preserve"> </v>
      </c>
      <c r="K14" s="4">
        <f>IF(B14&lt;Podsumowanie!E$7,0,K13+1)</f>
        <v>0</v>
      </c>
      <c r="L14" s="100">
        <f t="shared" si="2"/>
        <v>0.007333</v>
      </c>
      <c r="M14" s="38">
        <f>L14+Podsumowanie!E$6</f>
        <v>0.019333</v>
      </c>
      <c r="N14" s="101">
        <f>MAX(Podsumowanie!E$4+SUM(AA$5:AA13)-SUM(X$5:X14)+SUM(W$5:W14),0)</f>
        <v>181357.6981355522</v>
      </c>
      <c r="O14" s="102">
        <f>MAX(Podsumowanie!E$2+SUM(V$5:V13)-SUM(S$5:S14)+SUM(R$5:R14),0)</f>
        <v>400000</v>
      </c>
      <c r="P14" s="39">
        <f t="shared" si="17"/>
        <v>360</v>
      </c>
      <c r="Q14" s="40" t="str">
        <f>IF(AND(K14&gt;0,K14&lt;=Podsumowanie!E$9),"tak","nie")</f>
        <v>nie</v>
      </c>
      <c r="R14" s="41"/>
      <c r="S14" s="42"/>
      <c r="T14" s="88">
        <f t="shared" si="18"/>
        <v>0</v>
      </c>
      <c r="U14" s="89">
        <f>IF(Q14="tak",T14,IF(P14-SUM(AB$5:AB14)+1&gt;0,IF(Podsumowanie!E$7&lt;B14,IF(SUM(AB$5:AB14)-Podsumowanie!E$9+1&gt;0,PMT(M14/12,P14+1-SUM(AB$5:AB14),O14),T14),0),0))</f>
        <v>0</v>
      </c>
      <c r="V14" s="89">
        <f t="shared" si="19"/>
        <v>0</v>
      </c>
      <c r="W14" s="90" t="str">
        <f>IF(R14&gt;0,R14/(C14*(1-Podsumowanie!E$11))," ")</f>
        <v xml:space="preserve"> </v>
      </c>
      <c r="X14" s="90" t="str">
        <f t="shared" si="20"/>
        <v xml:space="preserve"> </v>
      </c>
      <c r="Y14" s="91">
        <f t="shared" si="21"/>
        <v>0</v>
      </c>
      <c r="Z14" s="90">
        <f>IF(P14-SUM(AB$5:AB14)+1&gt;0,IF(Podsumowanie!E$7&lt;B14,IF(SUM(AB$5:AB14)-Podsumowanie!E$9+1&gt;0,PMT(M14/12,P14+1-SUM(AB$5:AB14),N14),Y14),0),0)</f>
        <v>0</v>
      </c>
      <c r="AA14" s="90">
        <f t="shared" si="22"/>
        <v>0</v>
      </c>
      <c r="AB14" s="8" t="str">
        <f>IF(AND(Podsumowanie!E$7&lt;B14,SUM(AB$5:AB13)&lt;P13),1," ")</f>
        <v xml:space="preserve"> </v>
      </c>
      <c r="AD14" s="10">
        <f>Podsumowanie!E$4-SUM(AF$5:AF13)+SUM(W14:W$42)-SUM(X14:X$42)</f>
        <v>181357.6981355522</v>
      </c>
      <c r="AE14" s="10">
        <f t="shared" si="23"/>
        <v>0</v>
      </c>
      <c r="AF14" s="10">
        <f t="shared" si="24"/>
        <v>0</v>
      </c>
      <c r="AG14" s="10">
        <f t="shared" si="25"/>
        <v>0</v>
      </c>
      <c r="AH14" s="10">
        <f t="shared" si="26"/>
        <v>0</v>
      </c>
      <c r="AI14" s="10">
        <f>Podsumowanie!E$2-SUM(AK$5:AK13)+SUM(R14:R$42)-SUM(S14:S$42)</f>
        <v>400000</v>
      </c>
      <c r="AJ14" s="10">
        <f t="shared" si="27"/>
        <v>0</v>
      </c>
      <c r="AK14" s="10">
        <f t="shared" si="28"/>
        <v>0</v>
      </c>
      <c r="AL14" s="10">
        <f t="shared" si="29"/>
        <v>0</v>
      </c>
      <c r="AM14" s="10">
        <f t="shared" si="30"/>
        <v>0</v>
      </c>
      <c r="AO14" s="43">
        <f t="shared" si="31"/>
        <v>37530</v>
      </c>
      <c r="AP14" s="11">
        <f>AP$5+SUM(AS$5:AS13)-SUM(X$5:X14)+SUM(W$5:W14)</f>
        <v>175916.96719148563</v>
      </c>
      <c r="AQ14" s="10">
        <f t="shared" si="32"/>
        <v>0</v>
      </c>
      <c r="AR14" s="10">
        <f>IF(AB14=1,IF(Q14="tak",AQ14,PMT(M14/12,P14+1-SUM(AB$5:AB14),AP14)),0)</f>
        <v>0</v>
      </c>
      <c r="AS14" s="10">
        <f t="shared" si="33"/>
        <v>0</v>
      </c>
      <c r="AT14" s="10">
        <f t="shared" si="34"/>
        <v>0</v>
      </c>
      <c r="AV14" s="11">
        <f>AV$5+SUM(AX$5:AX13)+SUM(W$5:W13)-SUM(X$5:X13)</f>
        <v>175916.96719148563</v>
      </c>
      <c r="AW14" s="11">
        <f t="shared" si="35"/>
        <v>0</v>
      </c>
      <c r="AX14" s="11">
        <f t="shared" si="36"/>
        <v>0</v>
      </c>
      <c r="AY14" s="11">
        <f t="shared" si="37"/>
        <v>0</v>
      </c>
      <c r="AZ14" s="11">
        <f t="shared" si="38"/>
        <v>0</v>
      </c>
      <c r="BB14" s="191">
        <f t="shared" si="4"/>
        <v>0.0768</v>
      </c>
      <c r="BC14" s="44">
        <f>BB14+Podsumowanie!$E$6</f>
        <v>0.08879999999999999</v>
      </c>
      <c r="BD14" s="11">
        <f>BD$5+SUM(BE$5:BE13)+SUM(R$5:R13)-SUM(S$5:S13)</f>
        <v>400000</v>
      </c>
      <c r="BE14" s="10">
        <f t="shared" si="39"/>
        <v>0</v>
      </c>
      <c r="BF14" s="10">
        <f t="shared" si="40"/>
        <v>0</v>
      </c>
      <c r="BG14" s="10">
        <f>IF(U14&lt;0,PMT(BC14/12,Podsumowanie!E$8-SUM(AB$5:AB14)+1,BD14),0)</f>
        <v>0</v>
      </c>
      <c r="BI14" s="11">
        <f>BI$5+SUM(BK$5:BK13)+SUM(R$5:R13)-SUM(S$5:S13)</f>
        <v>400000</v>
      </c>
      <c r="BJ14" s="11">
        <f t="shared" si="5"/>
        <v>0</v>
      </c>
      <c r="BK14" s="11">
        <f t="shared" si="6"/>
        <v>0</v>
      </c>
      <c r="BL14" s="11">
        <f t="shared" si="7"/>
        <v>0</v>
      </c>
      <c r="BN14" s="44">
        <f t="shared" si="8"/>
        <v>0.08889999999999999</v>
      </c>
      <c r="BO14" s="11">
        <f>BO$5+SUM(BP$5:BP13)+SUM(R$5:R13)-SUM(S$5:S13)+SUM(BS$5:BS13)</f>
        <v>400000</v>
      </c>
      <c r="BP14" s="10">
        <f t="shared" si="46"/>
        <v>0</v>
      </c>
      <c r="BQ14" s="10">
        <f t="shared" si="47"/>
        <v>0</v>
      </c>
      <c r="BR14" s="10">
        <f>IF(U14&lt;0,PMT(BN14/12,Podsumowanie!E$8-SUM(AB$5:AB14)+1,BO14),0)</f>
        <v>0</v>
      </c>
      <c r="BS14" s="10">
        <f t="shared" si="41"/>
        <v>0</v>
      </c>
      <c r="BU14" s="11">
        <f>BU$5+SUM(BW$5:BW13)+SUM(R$5:R13)-SUM(S$5:S13)+SUM(BY$5,BY13)</f>
        <v>400000</v>
      </c>
      <c r="BV14" s="10">
        <f t="shared" si="9"/>
        <v>0</v>
      </c>
      <c r="BW14" s="10">
        <f t="shared" si="10"/>
        <v>0</v>
      </c>
      <c r="BX14" s="10">
        <f t="shared" si="48"/>
        <v>0</v>
      </c>
      <c r="BY14" s="10">
        <f t="shared" si="49"/>
        <v>0</v>
      </c>
      <c r="CA14" s="10">
        <f>CA$5+SUM(CB$5:CB13)+SUM(R$5:R13)-SUM(S$5:S13)-SUM(CC$5:CC13)</f>
        <v>400000</v>
      </c>
      <c r="CB14" s="10">
        <f t="shared" si="42"/>
        <v>0</v>
      </c>
      <c r="CC14" s="10">
        <f t="shared" si="43"/>
        <v>0</v>
      </c>
      <c r="CD14" s="10">
        <f t="shared" si="44"/>
        <v>0</v>
      </c>
      <c r="CF14" s="44">
        <f t="shared" si="11"/>
        <v>0.9544</v>
      </c>
      <c r="CG14" s="10">
        <f t="shared" si="45"/>
        <v>0</v>
      </c>
      <c r="CH14" s="4">
        <f t="shared" si="50"/>
        <v>0</v>
      </c>
    </row>
    <row r="15" spans="1:86" ht="15.75">
      <c r="A15" s="36"/>
      <c r="B15" s="113">
        <v>37561</v>
      </c>
      <c r="C15" s="77">
        <f t="shared" si="1"/>
        <v>2.6983</v>
      </c>
      <c r="D15" s="78">
        <f>C15*(1+Podsumowanie!E$11)</f>
        <v>2.779249</v>
      </c>
      <c r="E15" s="34">
        <f t="shared" si="12"/>
        <v>0</v>
      </c>
      <c r="F15" s="7">
        <f t="shared" si="13"/>
        <v>0</v>
      </c>
      <c r="G15" s="7">
        <f t="shared" si="14"/>
        <v>0</v>
      </c>
      <c r="H15" s="7">
        <f t="shared" si="15"/>
        <v>0</v>
      </c>
      <c r="I15" s="32"/>
      <c r="J15" s="4" t="str">
        <f t="shared" si="16"/>
        <v xml:space="preserve"> </v>
      </c>
      <c r="K15" s="4">
        <f>IF(B15&lt;Podsumowanie!E$7,0,K14+1)</f>
        <v>0</v>
      </c>
      <c r="L15" s="100">
        <f t="shared" si="2"/>
        <v>0.007367</v>
      </c>
      <c r="M15" s="38">
        <f>L15+Podsumowanie!E$6</f>
        <v>0.019367000000000002</v>
      </c>
      <c r="N15" s="101">
        <f>MAX(Podsumowanie!E$4+SUM(AA$5:AA14)-SUM(X$5:X15)+SUM(W$5:W15),0)</f>
        <v>181357.6981355522</v>
      </c>
      <c r="O15" s="102">
        <f>MAX(Podsumowanie!E$2+SUM(V$5:V14)-SUM(S$5:S15)+SUM(R$5:R15),0)</f>
        <v>400000</v>
      </c>
      <c r="P15" s="39">
        <f t="shared" si="17"/>
        <v>360</v>
      </c>
      <c r="Q15" s="40" t="str">
        <f>IF(AND(K15&gt;0,K15&lt;=Podsumowanie!E$9),"tak","nie")</f>
        <v>nie</v>
      </c>
      <c r="R15" s="41"/>
      <c r="S15" s="42"/>
      <c r="T15" s="88">
        <f t="shared" si="18"/>
        <v>0</v>
      </c>
      <c r="U15" s="89">
        <f>IF(Q15="tak",T15,IF(P15-SUM(AB$5:AB15)+1&gt;0,IF(Podsumowanie!E$7&lt;B15,IF(SUM(AB$5:AB15)-Podsumowanie!E$9+1&gt;0,PMT(M15/12,P15+1-SUM(AB$5:AB15),O15),T15),0),0))</f>
        <v>0</v>
      </c>
      <c r="V15" s="89">
        <f t="shared" si="19"/>
        <v>0</v>
      </c>
      <c r="W15" s="90" t="str">
        <f>IF(R15&gt;0,R15/(C15*(1-Podsumowanie!E$11))," ")</f>
        <v xml:space="preserve"> </v>
      </c>
      <c r="X15" s="90" t="str">
        <f t="shared" si="20"/>
        <v xml:space="preserve"> </v>
      </c>
      <c r="Y15" s="91">
        <f t="shared" si="21"/>
        <v>0</v>
      </c>
      <c r="Z15" s="90">
        <f>IF(P15-SUM(AB$5:AB15)+1&gt;0,IF(Podsumowanie!E$7&lt;B15,IF(SUM(AB$5:AB15)-Podsumowanie!E$9+1&gt;0,PMT(M15/12,P15+1-SUM(AB$5:AB15),N15),Y15),0),0)</f>
        <v>0</v>
      </c>
      <c r="AA15" s="90">
        <f t="shared" si="22"/>
        <v>0</v>
      </c>
      <c r="AB15" s="8" t="str">
        <f>IF(AND(Podsumowanie!E$7&lt;B15,SUM(AB$5:AB14)&lt;P14),1," ")</f>
        <v xml:space="preserve"> </v>
      </c>
      <c r="AD15" s="10">
        <f>Podsumowanie!E$4-SUM(AF$5:AF14)+SUM(W15:W$42)-SUM(X15:X$42)</f>
        <v>181357.6981355522</v>
      </c>
      <c r="AE15" s="10">
        <f t="shared" si="23"/>
        <v>0</v>
      </c>
      <c r="AF15" s="10">
        <f t="shared" si="24"/>
        <v>0</v>
      </c>
      <c r="AG15" s="10">
        <f t="shared" si="25"/>
        <v>0</v>
      </c>
      <c r="AH15" s="10">
        <f t="shared" si="26"/>
        <v>0</v>
      </c>
      <c r="AI15" s="10">
        <f>Podsumowanie!E$2-SUM(AK$5:AK14)+SUM(R15:R$42)-SUM(S15:S$42)</f>
        <v>400000</v>
      </c>
      <c r="AJ15" s="10">
        <f t="shared" si="27"/>
        <v>0</v>
      </c>
      <c r="AK15" s="10">
        <f t="shared" si="28"/>
        <v>0</v>
      </c>
      <c r="AL15" s="10">
        <f t="shared" si="29"/>
        <v>0</v>
      </c>
      <c r="AM15" s="10">
        <f t="shared" si="30"/>
        <v>0</v>
      </c>
      <c r="AO15" s="43">
        <f t="shared" si="31"/>
        <v>37561</v>
      </c>
      <c r="AP15" s="11">
        <f>AP$5+SUM(AS$5:AS14)-SUM(X$5:X15)+SUM(W$5:W15)</f>
        <v>175916.96719148563</v>
      </c>
      <c r="AQ15" s="10">
        <f t="shared" si="32"/>
        <v>0</v>
      </c>
      <c r="AR15" s="10">
        <f>IF(AB15=1,IF(Q15="tak",AQ15,PMT(M15/12,P15+1-SUM(AB$5:AB15),AP15)),0)</f>
        <v>0</v>
      </c>
      <c r="AS15" s="10">
        <f t="shared" si="33"/>
        <v>0</v>
      </c>
      <c r="AT15" s="10">
        <f t="shared" si="34"/>
        <v>0</v>
      </c>
      <c r="AV15" s="11">
        <f>AV$5+SUM(AX$5:AX14)+SUM(W$5:W14)-SUM(X$5:X14)</f>
        <v>175916.96719148563</v>
      </c>
      <c r="AW15" s="11">
        <f t="shared" si="35"/>
        <v>0</v>
      </c>
      <c r="AX15" s="11">
        <f t="shared" si="36"/>
        <v>0</v>
      </c>
      <c r="AY15" s="11">
        <f t="shared" si="37"/>
        <v>0</v>
      </c>
      <c r="AZ15" s="11">
        <f t="shared" si="38"/>
        <v>0</v>
      </c>
      <c r="BB15" s="191">
        <f t="shared" si="4"/>
        <v>0.0703</v>
      </c>
      <c r="BC15" s="44">
        <f>BB15+Podsumowanie!$E$6</f>
        <v>0.0823</v>
      </c>
      <c r="BD15" s="11">
        <f>BD$5+SUM(BE$5:BE14)+SUM(R$5:R14)-SUM(S$5:S14)</f>
        <v>400000</v>
      </c>
      <c r="BE15" s="10">
        <f t="shared" si="39"/>
        <v>0</v>
      </c>
      <c r="BF15" s="10">
        <f t="shared" si="40"/>
        <v>0</v>
      </c>
      <c r="BG15" s="10">
        <f>IF(U15&lt;0,PMT(BC15/12,Podsumowanie!E$8-SUM(AB$5:AB15)+1,BD15),0)</f>
        <v>0</v>
      </c>
      <c r="BI15" s="11">
        <f>BI$5+SUM(BK$5:BK14)+SUM(R$5:R14)-SUM(S$5:S14)</f>
        <v>400000</v>
      </c>
      <c r="BJ15" s="11">
        <f t="shared" si="5"/>
        <v>0</v>
      </c>
      <c r="BK15" s="11">
        <f t="shared" si="6"/>
        <v>0</v>
      </c>
      <c r="BL15" s="11">
        <f t="shared" si="7"/>
        <v>0</v>
      </c>
      <c r="BN15" s="44">
        <f t="shared" si="8"/>
        <v>0.0824</v>
      </c>
      <c r="BO15" s="11">
        <f>BO$5+SUM(BP$5:BP14)+SUM(R$5:R14)-SUM(S$5:S14)+SUM(BS$5:BS14)</f>
        <v>400000</v>
      </c>
      <c r="BP15" s="10">
        <f t="shared" si="46"/>
        <v>0</v>
      </c>
      <c r="BQ15" s="10">
        <f t="shared" si="47"/>
        <v>0</v>
      </c>
      <c r="BR15" s="10">
        <f>IF(U15&lt;0,PMT(BN15/12,Podsumowanie!E$8-SUM(AB$5:AB15)+1,BO15),0)</f>
        <v>0</v>
      </c>
      <c r="BS15" s="10">
        <f t="shared" si="41"/>
        <v>0</v>
      </c>
      <c r="BU15" s="11">
        <f>BU$5+SUM(BW$5:BW14)+SUM(R$5:R14)-SUM(S$5:S14)+SUM(BY$5,BY14)</f>
        <v>400000</v>
      </c>
      <c r="BV15" s="10">
        <f t="shared" si="9"/>
        <v>0</v>
      </c>
      <c r="BW15" s="10">
        <f t="shared" si="10"/>
        <v>0</v>
      </c>
      <c r="BX15" s="10">
        <f t="shared" si="48"/>
        <v>0</v>
      </c>
      <c r="BY15" s="10">
        <f t="shared" si="49"/>
        <v>0</v>
      </c>
      <c r="CA15" s="10">
        <f>CA$5+SUM(CB$5:CB14)+SUM(R$5:R14)-SUM(S$5:S14)-SUM(CC$5:CC14)</f>
        <v>400000</v>
      </c>
      <c r="CB15" s="10">
        <f t="shared" si="42"/>
        <v>0</v>
      </c>
      <c r="CC15" s="10">
        <f t="shared" si="43"/>
        <v>0</v>
      </c>
      <c r="CD15" s="10">
        <f t="shared" si="44"/>
        <v>0</v>
      </c>
      <c r="CF15" s="44">
        <f t="shared" si="11"/>
        <v>0.9564</v>
      </c>
      <c r="CG15" s="10">
        <f t="shared" si="45"/>
        <v>0</v>
      </c>
      <c r="CH15" s="4">
        <f t="shared" si="50"/>
        <v>0</v>
      </c>
    </row>
    <row r="16" spans="1:86" ht="15.75">
      <c r="A16" s="36"/>
      <c r="B16" s="113">
        <v>37591</v>
      </c>
      <c r="C16" s="77">
        <f t="shared" si="1"/>
        <v>2.7182</v>
      </c>
      <c r="D16" s="78">
        <f>C16*(1+Podsumowanie!E$11)</f>
        <v>2.799746</v>
      </c>
      <c r="E16" s="34">
        <f t="shared" si="12"/>
        <v>0</v>
      </c>
      <c r="F16" s="7">
        <f t="shared" si="13"/>
        <v>0</v>
      </c>
      <c r="G16" s="7">
        <f t="shared" si="14"/>
        <v>0</v>
      </c>
      <c r="H16" s="7">
        <f t="shared" si="15"/>
        <v>0</v>
      </c>
      <c r="I16" s="32"/>
      <c r="J16" s="4" t="str">
        <f t="shared" si="16"/>
        <v xml:space="preserve"> </v>
      </c>
      <c r="K16" s="4">
        <f>IF(B16&lt;Podsumowanie!E$7,0,K15+1)</f>
        <v>0</v>
      </c>
      <c r="L16" s="100">
        <f t="shared" si="2"/>
        <v>0.007433</v>
      </c>
      <c r="M16" s="38">
        <f>L16+Podsumowanie!E$6</f>
        <v>0.019433</v>
      </c>
      <c r="N16" s="101">
        <f>MAX(Podsumowanie!E$4+SUM(AA$5:AA15)-SUM(X$5:X16)+SUM(W$5:W16),0)</f>
        <v>181357.6981355522</v>
      </c>
      <c r="O16" s="102">
        <f>MAX(Podsumowanie!E$2+SUM(V$5:V15)-SUM(S$5:S16)+SUM(R$5:R16),0)</f>
        <v>400000</v>
      </c>
      <c r="P16" s="39">
        <f t="shared" si="17"/>
        <v>360</v>
      </c>
      <c r="Q16" s="40" t="str">
        <f>IF(AND(K16&gt;0,K16&lt;=Podsumowanie!E$9),"tak","nie")</f>
        <v>nie</v>
      </c>
      <c r="R16" s="41"/>
      <c r="S16" s="42"/>
      <c r="T16" s="88">
        <f t="shared" si="18"/>
        <v>0</v>
      </c>
      <c r="U16" s="89">
        <f>IF(Q16="tak",T16,IF(P16-SUM(AB$5:AB16)+1&gt;0,IF(Podsumowanie!E$7&lt;B16,IF(SUM(AB$5:AB16)-Podsumowanie!E$9+1&gt;0,PMT(M16/12,P16+1-SUM(AB$5:AB16),O16),T16),0),0))</f>
        <v>0</v>
      </c>
      <c r="V16" s="89">
        <f t="shared" si="19"/>
        <v>0</v>
      </c>
      <c r="W16" s="90" t="str">
        <f>IF(R16&gt;0,R16/(C16*(1-Podsumowanie!E$11))," ")</f>
        <v xml:space="preserve"> </v>
      </c>
      <c r="X16" s="90" t="str">
        <f t="shared" si="20"/>
        <v xml:space="preserve"> </v>
      </c>
      <c r="Y16" s="91">
        <f t="shared" si="21"/>
        <v>0</v>
      </c>
      <c r="Z16" s="90">
        <f>IF(P16-SUM(AB$5:AB16)+1&gt;0,IF(Podsumowanie!E$7&lt;B16,IF(SUM(AB$5:AB16)-Podsumowanie!E$9+1&gt;0,PMT(M16/12,P16+1-SUM(AB$5:AB16),N16),Y16),0),0)</f>
        <v>0</v>
      </c>
      <c r="AA16" s="90">
        <f t="shared" si="22"/>
        <v>0</v>
      </c>
      <c r="AB16" s="8" t="str">
        <f>IF(AND(Podsumowanie!E$7&lt;B16,SUM(AB$5:AB15)&lt;P15),1," ")</f>
        <v xml:space="preserve"> </v>
      </c>
      <c r="AD16" s="10">
        <f>Podsumowanie!E$4-SUM(AF$5:AF15)+SUM(W16:W$42)-SUM(X16:X$42)</f>
        <v>181357.6981355522</v>
      </c>
      <c r="AE16" s="10">
        <f t="shared" si="23"/>
        <v>0</v>
      </c>
      <c r="AF16" s="10">
        <f t="shared" si="24"/>
        <v>0</v>
      </c>
      <c r="AG16" s="10">
        <f t="shared" si="25"/>
        <v>0</v>
      </c>
      <c r="AH16" s="10">
        <f t="shared" si="26"/>
        <v>0</v>
      </c>
      <c r="AI16" s="10">
        <f>Podsumowanie!E$2-SUM(AK$5:AK15)+SUM(R16:R$42)-SUM(S16:S$42)</f>
        <v>400000</v>
      </c>
      <c r="AJ16" s="10">
        <f t="shared" si="27"/>
        <v>0</v>
      </c>
      <c r="AK16" s="10">
        <f t="shared" si="28"/>
        <v>0</v>
      </c>
      <c r="AL16" s="10">
        <f t="shared" si="29"/>
        <v>0</v>
      </c>
      <c r="AM16" s="10">
        <f t="shared" si="30"/>
        <v>0</v>
      </c>
      <c r="AO16" s="43">
        <f t="shared" si="31"/>
        <v>37591</v>
      </c>
      <c r="AP16" s="11">
        <f>AP$5+SUM(AS$5:AS15)-SUM(X$5:X16)+SUM(W$5:W16)</f>
        <v>175916.96719148563</v>
      </c>
      <c r="AQ16" s="10">
        <f t="shared" si="32"/>
        <v>0</v>
      </c>
      <c r="AR16" s="10">
        <f>IF(AB16=1,IF(Q16="tak",AQ16,PMT(M16/12,P16+1-SUM(AB$5:AB16),AP16)),0)</f>
        <v>0</v>
      </c>
      <c r="AS16" s="10">
        <f t="shared" si="33"/>
        <v>0</v>
      </c>
      <c r="AT16" s="10">
        <f t="shared" si="34"/>
        <v>0</v>
      </c>
      <c r="AV16" s="11">
        <f>AV$5+SUM(AX$5:AX15)+SUM(W$5:W15)-SUM(X$5:X15)</f>
        <v>175916.96719148563</v>
      </c>
      <c r="AW16" s="11">
        <f t="shared" si="35"/>
        <v>0</v>
      </c>
      <c r="AX16" s="11">
        <f t="shared" si="36"/>
        <v>0</v>
      </c>
      <c r="AY16" s="11">
        <f t="shared" si="37"/>
        <v>0</v>
      </c>
      <c r="AZ16" s="11">
        <f t="shared" si="38"/>
        <v>0</v>
      </c>
      <c r="BB16" s="191">
        <f t="shared" si="4"/>
        <v>0.067</v>
      </c>
      <c r="BC16" s="44">
        <f>BB16+Podsumowanie!$E$6</f>
        <v>0.079</v>
      </c>
      <c r="BD16" s="11">
        <f>BD$5+SUM(BE$5:BE15)+SUM(R$5:R15)-SUM(S$5:S15)</f>
        <v>400000</v>
      </c>
      <c r="BE16" s="10">
        <f t="shared" si="39"/>
        <v>0</v>
      </c>
      <c r="BF16" s="10">
        <f t="shared" si="40"/>
        <v>0</v>
      </c>
      <c r="BG16" s="10">
        <f>IF(U16&lt;0,PMT(BC16/12,Podsumowanie!E$8-SUM(AB$5:AB16)+1,BD16),0)</f>
        <v>0</v>
      </c>
      <c r="BI16" s="11">
        <f>BI$5+SUM(BK$5:BK15)+SUM(R$5:R15)-SUM(S$5:S15)</f>
        <v>400000</v>
      </c>
      <c r="BJ16" s="11">
        <f t="shared" si="5"/>
        <v>0</v>
      </c>
      <c r="BK16" s="11">
        <f t="shared" si="6"/>
        <v>0</v>
      </c>
      <c r="BL16" s="11">
        <f t="shared" si="7"/>
        <v>0</v>
      </c>
      <c r="BN16" s="44">
        <f t="shared" si="8"/>
        <v>0.0791</v>
      </c>
      <c r="BO16" s="11">
        <f>BO$5+SUM(BP$5:BP15)+SUM(R$5:R15)-SUM(S$5:S15)+SUM(BS$5:BS15)</f>
        <v>400000</v>
      </c>
      <c r="BP16" s="10">
        <f t="shared" si="46"/>
        <v>0</v>
      </c>
      <c r="BQ16" s="10">
        <f t="shared" si="47"/>
        <v>0</v>
      </c>
      <c r="BR16" s="10">
        <f>IF(U16&lt;0,PMT(BN16/12,Podsumowanie!E$8-SUM(AB$5:AB16)+1,BO16),0)</f>
        <v>0</v>
      </c>
      <c r="BS16" s="10">
        <f t="shared" si="41"/>
        <v>0</v>
      </c>
      <c r="BU16" s="11">
        <f>BU$5+SUM(BW$5:BW15)+SUM(R$5:R15)-SUM(S$5:S15)+SUM(BY$5,BY15)</f>
        <v>400000</v>
      </c>
      <c r="BV16" s="10">
        <f t="shared" si="9"/>
        <v>0</v>
      </c>
      <c r="BW16" s="10">
        <f t="shared" si="10"/>
        <v>0</v>
      </c>
      <c r="BX16" s="10">
        <f t="shared" si="48"/>
        <v>0</v>
      </c>
      <c r="BY16" s="10">
        <f t="shared" si="49"/>
        <v>0</v>
      </c>
      <c r="CA16" s="10">
        <f>CA$5+SUM(CB$5:CB15)+SUM(R$5:R15)-SUM(S$5:S15)-SUM(CC$5:CC15)</f>
        <v>400000</v>
      </c>
      <c r="CB16" s="10">
        <f t="shared" si="42"/>
        <v>0</v>
      </c>
      <c r="CC16" s="10">
        <f t="shared" si="43"/>
        <v>0</v>
      </c>
      <c r="CD16" s="10">
        <f t="shared" si="44"/>
        <v>0</v>
      </c>
      <c r="CF16" s="44">
        <f t="shared" si="11"/>
        <v>0.9544</v>
      </c>
      <c r="CG16" s="10">
        <f t="shared" si="45"/>
        <v>0</v>
      </c>
      <c r="CH16" s="4">
        <f t="shared" si="50"/>
        <v>0</v>
      </c>
    </row>
    <row r="17" spans="1:86" ht="15.75">
      <c r="A17" s="36">
        <v>2003</v>
      </c>
      <c r="B17" s="112">
        <v>37622</v>
      </c>
      <c r="C17" s="77">
        <f t="shared" si="1"/>
        <v>2.7816</v>
      </c>
      <c r="D17" s="78">
        <f>C17*(1+Podsumowanie!E$11)</f>
        <v>2.8650480000000003</v>
      </c>
      <c r="E17" s="34">
        <f t="shared" si="12"/>
        <v>0</v>
      </c>
      <c r="F17" s="7">
        <f t="shared" si="13"/>
        <v>0</v>
      </c>
      <c r="G17" s="7">
        <f t="shared" si="14"/>
        <v>0</v>
      </c>
      <c r="H17" s="7">
        <f t="shared" si="15"/>
        <v>0</v>
      </c>
      <c r="I17" s="32"/>
      <c r="J17" s="4" t="str">
        <f t="shared" si="16"/>
        <v xml:space="preserve"> </v>
      </c>
      <c r="K17" s="4">
        <f>IF(B17&lt;Podsumowanie!E$7,0,K16+1)</f>
        <v>0</v>
      </c>
      <c r="L17" s="100">
        <f t="shared" si="2"/>
        <v>0.006017</v>
      </c>
      <c r="M17" s="38">
        <f>L17+Podsumowanie!E$6</f>
        <v>0.018017</v>
      </c>
      <c r="N17" s="101">
        <f>MAX(Podsumowanie!E$4+SUM(AA$5:AA16)-SUM(X$5:X17)+SUM(W$5:W17),0)</f>
        <v>181357.6981355522</v>
      </c>
      <c r="O17" s="102">
        <f>MAX(Podsumowanie!E$2+SUM(V$5:V16)-SUM(S$5:S17)+SUM(R$5:R17),0)</f>
        <v>400000</v>
      </c>
      <c r="P17" s="39">
        <f t="shared" si="17"/>
        <v>360</v>
      </c>
      <c r="Q17" s="40" t="str">
        <f>IF(AND(K17&gt;0,K17&lt;=Podsumowanie!E$9),"tak","nie")</f>
        <v>nie</v>
      </c>
      <c r="R17" s="41"/>
      <c r="S17" s="42"/>
      <c r="T17" s="88">
        <f t="shared" si="18"/>
        <v>0</v>
      </c>
      <c r="U17" s="89">
        <f>IF(Q17="tak",T17,IF(P17-SUM(AB$5:AB17)+1&gt;0,IF(Podsumowanie!E$7&lt;B17,IF(SUM(AB$5:AB17)-Podsumowanie!E$9+1&gt;0,PMT(M17/12,P17+1-SUM(AB$5:AB17),O17),T17),0),0))</f>
        <v>0</v>
      </c>
      <c r="V17" s="89">
        <f t="shared" si="19"/>
        <v>0</v>
      </c>
      <c r="W17" s="90" t="str">
        <f>IF(R17&gt;0,R17/(C17*(1-Podsumowanie!E$11))," ")</f>
        <v xml:space="preserve"> </v>
      </c>
      <c r="X17" s="90" t="str">
        <f t="shared" si="20"/>
        <v xml:space="preserve"> </v>
      </c>
      <c r="Y17" s="91">
        <f t="shared" si="21"/>
        <v>0</v>
      </c>
      <c r="Z17" s="90">
        <f>IF(P17-SUM(AB$5:AB17)+1&gt;0,IF(Podsumowanie!E$7&lt;B17,IF(SUM(AB$5:AB17)-Podsumowanie!E$9+1&gt;0,PMT(M17/12,P17+1-SUM(AB$5:AB17),N17),Y17),0),0)</f>
        <v>0</v>
      </c>
      <c r="AA17" s="90">
        <f t="shared" si="22"/>
        <v>0</v>
      </c>
      <c r="AB17" s="8" t="str">
        <f>IF(AND(Podsumowanie!E$7&lt;B17,SUM(AB$5:AB16)&lt;P16),1," ")</f>
        <v xml:space="preserve"> </v>
      </c>
      <c r="AD17" s="10">
        <f>Podsumowanie!E$4-SUM(AF$5:AF16)+SUM(W17:W$42)-SUM(X17:X$42)</f>
        <v>181357.6981355522</v>
      </c>
      <c r="AE17" s="10">
        <f t="shared" si="23"/>
        <v>0</v>
      </c>
      <c r="AF17" s="10">
        <f t="shared" si="24"/>
        <v>0</v>
      </c>
      <c r="AG17" s="10">
        <f t="shared" si="25"/>
        <v>0</v>
      </c>
      <c r="AH17" s="10">
        <f t="shared" si="26"/>
        <v>0</v>
      </c>
      <c r="AI17" s="10">
        <f>Podsumowanie!E$2-SUM(AK$5:AK16)+SUM(R17:R$42)-SUM(S17:S$42)</f>
        <v>400000</v>
      </c>
      <c r="AJ17" s="10">
        <f t="shared" si="27"/>
        <v>0</v>
      </c>
      <c r="AK17" s="10">
        <f t="shared" si="28"/>
        <v>0</v>
      </c>
      <c r="AL17" s="10">
        <f t="shared" si="29"/>
        <v>0</v>
      </c>
      <c r="AM17" s="10">
        <f t="shared" si="30"/>
        <v>0</v>
      </c>
      <c r="AO17" s="43">
        <f t="shared" si="31"/>
        <v>37622</v>
      </c>
      <c r="AP17" s="11">
        <f>AP$5+SUM(AS$5:AS16)-SUM(X$5:X17)+SUM(W$5:W17)</f>
        <v>175916.96719148563</v>
      </c>
      <c r="AQ17" s="10">
        <f t="shared" si="32"/>
        <v>0</v>
      </c>
      <c r="AR17" s="10">
        <f>IF(AB17=1,IF(Q17="tak",AQ17,PMT(M17/12,P17+1-SUM(AB$5:AB17),AP17)),0)</f>
        <v>0</v>
      </c>
      <c r="AS17" s="10">
        <f t="shared" si="33"/>
        <v>0</v>
      </c>
      <c r="AT17" s="10">
        <f t="shared" si="34"/>
        <v>0</v>
      </c>
      <c r="AV17" s="11">
        <f>AV$5+SUM(AX$5:AX16)+SUM(W$5:W16)-SUM(X$5:X16)</f>
        <v>175916.96719148563</v>
      </c>
      <c r="AW17" s="11">
        <f t="shared" si="35"/>
        <v>0</v>
      </c>
      <c r="AX17" s="11">
        <f t="shared" si="36"/>
        <v>0</v>
      </c>
      <c r="AY17" s="11">
        <f t="shared" si="37"/>
        <v>0</v>
      </c>
      <c r="AZ17" s="11">
        <f t="shared" si="38"/>
        <v>0</v>
      </c>
      <c r="BB17" s="191">
        <f t="shared" si="4"/>
        <v>0.0678</v>
      </c>
      <c r="BC17" s="44">
        <f>BB17+Podsumowanie!$E$6</f>
        <v>0.0798</v>
      </c>
      <c r="BD17" s="11">
        <f>BD$5+SUM(BE$5:BE16)+SUM(R$5:R16)-SUM(S$5:S16)</f>
        <v>400000</v>
      </c>
      <c r="BE17" s="10">
        <f t="shared" si="39"/>
        <v>0</v>
      </c>
      <c r="BF17" s="10">
        <f t="shared" si="40"/>
        <v>0</v>
      </c>
      <c r="BG17" s="10">
        <f>IF(U17&lt;0,PMT(BC17/12,Podsumowanie!E$8-SUM(AB$5:AB17)+1,BD17),0)</f>
        <v>0</v>
      </c>
      <c r="BI17" s="11">
        <f>BI$5+SUM(BK$5:BK16)+SUM(R$5:R16)-SUM(S$5:S16)</f>
        <v>400000</v>
      </c>
      <c r="BJ17" s="11">
        <f t="shared" si="5"/>
        <v>0</v>
      </c>
      <c r="BK17" s="11">
        <f t="shared" si="6"/>
        <v>0</v>
      </c>
      <c r="BL17" s="11">
        <f t="shared" si="7"/>
        <v>0</v>
      </c>
      <c r="BN17" s="44">
        <f t="shared" si="8"/>
        <v>0.0799</v>
      </c>
      <c r="BO17" s="11">
        <f>BO$5+SUM(BP$5:BP16)+SUM(R$5:R16)-SUM(S$5:S16)+SUM(BS$5:BS16)</f>
        <v>400000</v>
      </c>
      <c r="BP17" s="10">
        <f t="shared" si="46"/>
        <v>0</v>
      </c>
      <c r="BQ17" s="10">
        <f t="shared" si="47"/>
        <v>0</v>
      </c>
      <c r="BR17" s="10">
        <f>IF(U17&lt;0,PMT(BN17/12,Podsumowanie!E$8-SUM(AB$5:AB17)+1,BO17),0)</f>
        <v>0</v>
      </c>
      <c r="BS17" s="10">
        <f t="shared" si="41"/>
        <v>0</v>
      </c>
      <c r="BU17" s="11">
        <f>BU$5+SUM(BW$5:BW16)+SUM(R$5:R16)-SUM(S$5:S16)+SUM(BY$5,BY16)</f>
        <v>400000</v>
      </c>
      <c r="BV17" s="10">
        <f t="shared" si="9"/>
        <v>0</v>
      </c>
      <c r="BW17" s="10">
        <f t="shared" si="10"/>
        <v>0</v>
      </c>
      <c r="BX17" s="10">
        <f t="shared" si="48"/>
        <v>0</v>
      </c>
      <c r="BY17" s="10">
        <f t="shared" si="49"/>
        <v>0</v>
      </c>
      <c r="CA17" s="10">
        <f>CA$5+SUM(CB$5:CB16)+SUM(R$5:R16)-SUM(S$5:S16)-SUM(CC$5:CC16)</f>
        <v>400000</v>
      </c>
      <c r="CB17" s="10">
        <f t="shared" si="42"/>
        <v>0</v>
      </c>
      <c r="CC17" s="10">
        <f t="shared" si="43"/>
        <v>0</v>
      </c>
      <c r="CD17" s="10">
        <f t="shared" si="44"/>
        <v>0</v>
      </c>
      <c r="CF17" s="44">
        <f t="shared" si="11"/>
        <v>0.9467</v>
      </c>
      <c r="CG17" s="10">
        <f t="shared" si="45"/>
        <v>0</v>
      </c>
      <c r="CH17" s="4">
        <f t="shared" si="50"/>
        <v>0</v>
      </c>
    </row>
    <row r="18" spans="1:86" ht="15.75">
      <c r="A18" s="36"/>
      <c r="B18" s="113">
        <v>37653</v>
      </c>
      <c r="C18" s="77">
        <f t="shared" si="1"/>
        <v>2.8381</v>
      </c>
      <c r="D18" s="78">
        <f>C18*(1+Podsumowanie!E$11)</f>
        <v>2.923243</v>
      </c>
      <c r="E18" s="34">
        <f t="shared" si="12"/>
        <v>0</v>
      </c>
      <c r="F18" s="7">
        <f t="shared" si="13"/>
        <v>0</v>
      </c>
      <c r="G18" s="7">
        <f t="shared" si="14"/>
        <v>0</v>
      </c>
      <c r="H18" s="7">
        <f t="shared" si="15"/>
        <v>0</v>
      </c>
      <c r="I18" s="32"/>
      <c r="J18" s="4" t="str">
        <f t="shared" si="16"/>
        <v xml:space="preserve"> </v>
      </c>
      <c r="K18" s="4">
        <f>IF(B18&lt;Podsumowanie!E$7,0,K17+1)</f>
        <v>0</v>
      </c>
      <c r="L18" s="100">
        <f t="shared" si="2"/>
        <v>0.006067</v>
      </c>
      <c r="M18" s="38">
        <f>L18+Podsumowanie!E$6</f>
        <v>0.018067</v>
      </c>
      <c r="N18" s="101">
        <f>MAX(Podsumowanie!E$4+SUM(AA$5:AA17)-SUM(X$5:X18)+SUM(W$5:W18),0)</f>
        <v>181357.6981355522</v>
      </c>
      <c r="O18" s="102">
        <f>MAX(Podsumowanie!E$2+SUM(V$5:V17)-SUM(S$5:S18)+SUM(R$5:R18),0)</f>
        <v>400000</v>
      </c>
      <c r="P18" s="39">
        <f t="shared" si="17"/>
        <v>360</v>
      </c>
      <c r="Q18" s="40" t="str">
        <f>IF(AND(K18&gt;0,K18&lt;=Podsumowanie!E$9),"tak","nie")</f>
        <v>nie</v>
      </c>
      <c r="R18" s="41"/>
      <c r="S18" s="42"/>
      <c r="T18" s="88">
        <f t="shared" si="18"/>
        <v>0</v>
      </c>
      <c r="U18" s="89">
        <f>IF(Q18="tak",T18,IF(P18-SUM(AB$5:AB18)+1&gt;0,IF(Podsumowanie!E$7&lt;B18,IF(SUM(AB$5:AB18)-Podsumowanie!E$9+1&gt;0,PMT(M18/12,P18+1-SUM(AB$5:AB18),O18),T18),0),0))</f>
        <v>0</v>
      </c>
      <c r="V18" s="89">
        <f t="shared" si="19"/>
        <v>0</v>
      </c>
      <c r="W18" s="90" t="str">
        <f>IF(R18&gt;0,R18/(C18*(1-Podsumowanie!E$11))," ")</f>
        <v xml:space="preserve"> </v>
      </c>
      <c r="X18" s="90" t="str">
        <f t="shared" si="20"/>
        <v xml:space="preserve"> </v>
      </c>
      <c r="Y18" s="91">
        <f t="shared" si="21"/>
        <v>0</v>
      </c>
      <c r="Z18" s="90">
        <f>IF(P18-SUM(AB$5:AB18)+1&gt;0,IF(Podsumowanie!E$7&lt;B18,IF(SUM(AB$5:AB18)-Podsumowanie!E$9+1&gt;0,PMT(M18/12,P18+1-SUM(AB$5:AB18),N18),Y18),0),0)</f>
        <v>0</v>
      </c>
      <c r="AA18" s="90">
        <f t="shared" si="22"/>
        <v>0</v>
      </c>
      <c r="AB18" s="8" t="str">
        <f>IF(AND(Podsumowanie!E$7&lt;B18,SUM(AB$5:AB17)&lt;P17),1," ")</f>
        <v xml:space="preserve"> </v>
      </c>
      <c r="AD18" s="10">
        <f>Podsumowanie!E$4-SUM(AF$5:AF17)+SUM(W18:W$42)-SUM(X18:X$42)</f>
        <v>181357.6981355522</v>
      </c>
      <c r="AE18" s="10">
        <f t="shared" si="23"/>
        <v>0</v>
      </c>
      <c r="AF18" s="10">
        <f t="shared" si="24"/>
        <v>0</v>
      </c>
      <c r="AG18" s="10">
        <f t="shared" si="25"/>
        <v>0</v>
      </c>
      <c r="AH18" s="10">
        <f t="shared" si="26"/>
        <v>0</v>
      </c>
      <c r="AI18" s="10">
        <f>Podsumowanie!E$2-SUM(AK$5:AK17)+SUM(R18:R$42)-SUM(S18:S$42)</f>
        <v>400000</v>
      </c>
      <c r="AJ18" s="10">
        <f t="shared" si="27"/>
        <v>0</v>
      </c>
      <c r="AK18" s="10">
        <f t="shared" si="28"/>
        <v>0</v>
      </c>
      <c r="AL18" s="10">
        <f t="shared" si="29"/>
        <v>0</v>
      </c>
      <c r="AM18" s="10">
        <f t="shared" si="30"/>
        <v>0</v>
      </c>
      <c r="AO18" s="43">
        <f t="shared" si="31"/>
        <v>37653</v>
      </c>
      <c r="AP18" s="11">
        <f>AP$5+SUM(AS$5:AS17)-SUM(X$5:X18)+SUM(W$5:W18)</f>
        <v>175916.96719148563</v>
      </c>
      <c r="AQ18" s="10">
        <f t="shared" si="32"/>
        <v>0</v>
      </c>
      <c r="AR18" s="10">
        <f>IF(AB18=1,IF(Q18="tak",AQ18,PMT(M18/12,P18+1-SUM(AB$5:AB18),AP18)),0)</f>
        <v>0</v>
      </c>
      <c r="AS18" s="10">
        <f t="shared" si="33"/>
        <v>0</v>
      </c>
      <c r="AT18" s="10">
        <f t="shared" si="34"/>
        <v>0</v>
      </c>
      <c r="AV18" s="11">
        <f>AV$5+SUM(AX$5:AX17)+SUM(W$5:W17)-SUM(X$5:X17)</f>
        <v>175916.96719148563</v>
      </c>
      <c r="AW18" s="11">
        <f t="shared" si="35"/>
        <v>0</v>
      </c>
      <c r="AX18" s="11">
        <f t="shared" si="36"/>
        <v>0</v>
      </c>
      <c r="AY18" s="11">
        <f t="shared" si="37"/>
        <v>0</v>
      </c>
      <c r="AZ18" s="11">
        <f t="shared" si="38"/>
        <v>0</v>
      </c>
      <c r="BB18" s="191">
        <f t="shared" si="4"/>
        <v>0.0644</v>
      </c>
      <c r="BC18" s="44">
        <f>BB18+Podsumowanie!$E$6</f>
        <v>0.0764</v>
      </c>
      <c r="BD18" s="11">
        <f>BD$5+SUM(BE$5:BE17)+SUM(R$5:R17)-SUM(S$5:S17)</f>
        <v>400000</v>
      </c>
      <c r="BE18" s="10">
        <f t="shared" si="39"/>
        <v>0</v>
      </c>
      <c r="BF18" s="10">
        <f t="shared" si="40"/>
        <v>0</v>
      </c>
      <c r="BG18" s="10">
        <f>IF(U18&lt;0,PMT(BC18/12,Podsumowanie!E$8-SUM(AB$5:AB18)+1,BD18),0)</f>
        <v>0</v>
      </c>
      <c r="BI18" s="11">
        <f>BI$5+SUM(BK$5:BK17)+SUM(R$5:R17)-SUM(S$5:S17)</f>
        <v>400000</v>
      </c>
      <c r="BJ18" s="11">
        <f t="shared" si="5"/>
        <v>0</v>
      </c>
      <c r="BK18" s="11">
        <f t="shared" si="6"/>
        <v>0</v>
      </c>
      <c r="BL18" s="11">
        <f t="shared" si="7"/>
        <v>0</v>
      </c>
      <c r="BN18" s="44">
        <f t="shared" si="8"/>
        <v>0.0765</v>
      </c>
      <c r="BO18" s="11">
        <f>BO$5+SUM(BP$5:BP17)+SUM(R$5:R17)-SUM(S$5:S17)+SUM(BS$5:BS17)</f>
        <v>400000</v>
      </c>
      <c r="BP18" s="10">
        <f t="shared" si="46"/>
        <v>0</v>
      </c>
      <c r="BQ18" s="10">
        <f t="shared" si="47"/>
        <v>0</v>
      </c>
      <c r="BR18" s="10">
        <f>IF(U18&lt;0,PMT(BN18/12,Podsumowanie!E$8-SUM(AB$5:AB18)+1,BO18),0)</f>
        <v>0</v>
      </c>
      <c r="BS18" s="10">
        <f t="shared" si="41"/>
        <v>0</v>
      </c>
      <c r="BU18" s="11">
        <f>BU$5+SUM(BW$5:BW17)+SUM(R$5:R17)-SUM(S$5:S17)+SUM(BY$5,BY17)</f>
        <v>400000</v>
      </c>
      <c r="BV18" s="10">
        <f t="shared" si="9"/>
        <v>0</v>
      </c>
      <c r="BW18" s="10">
        <f t="shared" si="10"/>
        <v>0</v>
      </c>
      <c r="BX18" s="10">
        <f t="shared" si="48"/>
        <v>0</v>
      </c>
      <c r="BY18" s="10">
        <f t="shared" si="49"/>
        <v>0</v>
      </c>
      <c r="CA18" s="10">
        <f>CA$5+SUM(CB$5:CB17)+SUM(R$5:R17)-SUM(S$5:S17)-SUM(CC$5:CC17)</f>
        <v>400000</v>
      </c>
      <c r="CB18" s="10">
        <f t="shared" si="42"/>
        <v>0</v>
      </c>
      <c r="CC18" s="10">
        <f t="shared" si="43"/>
        <v>0</v>
      </c>
      <c r="CD18" s="10">
        <f t="shared" si="44"/>
        <v>0</v>
      </c>
      <c r="CF18" s="44">
        <f t="shared" si="11"/>
        <v>0.9447</v>
      </c>
      <c r="CG18" s="10">
        <f t="shared" si="45"/>
        <v>0</v>
      </c>
      <c r="CH18" s="4">
        <f t="shared" si="50"/>
        <v>0</v>
      </c>
    </row>
    <row r="19" spans="1:86" ht="15.75">
      <c r="A19" s="36"/>
      <c r="B19" s="113">
        <v>37681</v>
      </c>
      <c r="C19" s="77">
        <f t="shared" si="1"/>
        <v>2.9426</v>
      </c>
      <c r="D19" s="78">
        <f>C19*(1+Podsumowanie!E$11)</f>
        <v>3.0308780000000004</v>
      </c>
      <c r="E19" s="34">
        <f t="shared" si="12"/>
        <v>0</v>
      </c>
      <c r="F19" s="7">
        <f t="shared" si="13"/>
        <v>0</v>
      </c>
      <c r="G19" s="7">
        <f t="shared" si="14"/>
        <v>0</v>
      </c>
      <c r="H19" s="7">
        <f t="shared" si="15"/>
        <v>0</v>
      </c>
      <c r="I19" s="32"/>
      <c r="J19" s="4" t="str">
        <f t="shared" si="16"/>
        <v xml:space="preserve"> </v>
      </c>
      <c r="K19" s="4">
        <f>IF(B19&lt;Podsumowanie!E$7,0,K18+1)</f>
        <v>0</v>
      </c>
      <c r="L19" s="100">
        <f t="shared" si="2"/>
        <v>0.005733</v>
      </c>
      <c r="M19" s="38">
        <f>L19+Podsumowanie!E$6</f>
        <v>0.017733</v>
      </c>
      <c r="N19" s="101">
        <f>MAX(Podsumowanie!E$4+SUM(AA$5:AA18)-SUM(X$5:X19)+SUM(W$5:W19),0)</f>
        <v>181357.6981355522</v>
      </c>
      <c r="O19" s="102">
        <f>MAX(Podsumowanie!E$2+SUM(V$5:V18)-SUM(S$5:S19)+SUM(R$5:R19),0)</f>
        <v>400000</v>
      </c>
      <c r="P19" s="39">
        <f t="shared" si="17"/>
        <v>360</v>
      </c>
      <c r="Q19" s="40" t="str">
        <f>IF(AND(K19&gt;0,K19&lt;=Podsumowanie!E$9),"tak","nie")</f>
        <v>nie</v>
      </c>
      <c r="R19" s="41"/>
      <c r="S19" s="42"/>
      <c r="T19" s="88">
        <f t="shared" si="18"/>
        <v>0</v>
      </c>
      <c r="U19" s="89">
        <f>IF(Q19="tak",T19,IF(P19-SUM(AB$5:AB19)+1&gt;0,IF(Podsumowanie!E$7&lt;B19,IF(SUM(AB$5:AB19)-Podsumowanie!E$9+1&gt;0,PMT(M19/12,P19+1-SUM(AB$5:AB19),O19),T19),0),0))</f>
        <v>0</v>
      </c>
      <c r="V19" s="89">
        <f t="shared" si="19"/>
        <v>0</v>
      </c>
      <c r="W19" s="90" t="str">
        <f>IF(R19&gt;0,R19/(C19*(1-Podsumowanie!E$11))," ")</f>
        <v xml:space="preserve"> </v>
      </c>
      <c r="X19" s="90" t="str">
        <f t="shared" si="20"/>
        <v xml:space="preserve"> </v>
      </c>
      <c r="Y19" s="91">
        <f t="shared" si="21"/>
        <v>0</v>
      </c>
      <c r="Z19" s="90">
        <f>IF(P19-SUM(AB$5:AB19)+1&gt;0,IF(Podsumowanie!E$7&lt;B19,IF(SUM(AB$5:AB19)-Podsumowanie!E$9+1&gt;0,PMT(M19/12,P19+1-SUM(AB$5:AB19),N19),Y19),0),0)</f>
        <v>0</v>
      </c>
      <c r="AA19" s="90">
        <f t="shared" si="22"/>
        <v>0</v>
      </c>
      <c r="AB19" s="8" t="str">
        <f>IF(AND(Podsumowanie!E$7&lt;B19,SUM(AB$5:AB18)&lt;P18),1," ")</f>
        <v xml:space="preserve"> </v>
      </c>
      <c r="AD19" s="10">
        <f>Podsumowanie!E$4-SUM(AF$5:AF18)+SUM(W19:W$42)-SUM(X19:X$42)</f>
        <v>181357.6981355522</v>
      </c>
      <c r="AE19" s="10">
        <f t="shared" si="23"/>
        <v>0</v>
      </c>
      <c r="AF19" s="10">
        <f t="shared" si="24"/>
        <v>0</v>
      </c>
      <c r="AG19" s="10">
        <f t="shared" si="25"/>
        <v>0</v>
      </c>
      <c r="AH19" s="10">
        <f t="shared" si="26"/>
        <v>0</v>
      </c>
      <c r="AI19" s="10">
        <f>Podsumowanie!E$2-SUM(AK$5:AK18)+SUM(R19:R$42)-SUM(S19:S$42)</f>
        <v>400000</v>
      </c>
      <c r="AJ19" s="10">
        <f t="shared" si="27"/>
        <v>0</v>
      </c>
      <c r="AK19" s="10">
        <f t="shared" si="28"/>
        <v>0</v>
      </c>
      <c r="AL19" s="10">
        <f t="shared" si="29"/>
        <v>0</v>
      </c>
      <c r="AM19" s="10">
        <f t="shared" si="30"/>
        <v>0</v>
      </c>
      <c r="AO19" s="43">
        <f t="shared" si="31"/>
        <v>37681</v>
      </c>
      <c r="AP19" s="11">
        <f>AP$5+SUM(AS$5:AS18)-SUM(X$5:X19)+SUM(W$5:W19)</f>
        <v>175916.96719148563</v>
      </c>
      <c r="AQ19" s="10">
        <f t="shared" si="32"/>
        <v>0</v>
      </c>
      <c r="AR19" s="10">
        <f>IF(AB19=1,IF(Q19="tak",AQ19,PMT(M19/12,P19+1-SUM(AB$5:AB19),AP19)),0)</f>
        <v>0</v>
      </c>
      <c r="AS19" s="10">
        <f t="shared" si="33"/>
        <v>0</v>
      </c>
      <c r="AT19" s="10">
        <f t="shared" si="34"/>
        <v>0</v>
      </c>
      <c r="AV19" s="11">
        <f>AV$5+SUM(AX$5:AX18)+SUM(W$5:W18)-SUM(X$5:X18)</f>
        <v>175916.96719148563</v>
      </c>
      <c r="AW19" s="11">
        <f t="shared" si="35"/>
        <v>0</v>
      </c>
      <c r="AX19" s="11">
        <f t="shared" si="36"/>
        <v>0</v>
      </c>
      <c r="AY19" s="11">
        <f t="shared" si="37"/>
        <v>0</v>
      </c>
      <c r="AZ19" s="11">
        <f t="shared" si="38"/>
        <v>0</v>
      </c>
      <c r="BB19" s="191">
        <f t="shared" si="4"/>
        <v>0.0628</v>
      </c>
      <c r="BC19" s="44">
        <f>BB19+Podsumowanie!$E$6</f>
        <v>0.07479999999999999</v>
      </c>
      <c r="BD19" s="11">
        <f>BD$5+SUM(BE$5:BE18)+SUM(R$5:R18)-SUM(S$5:S18)</f>
        <v>400000</v>
      </c>
      <c r="BE19" s="10">
        <f t="shared" si="39"/>
        <v>0</v>
      </c>
      <c r="BF19" s="10">
        <f t="shared" si="40"/>
        <v>0</v>
      </c>
      <c r="BG19" s="10">
        <f>IF(U19&lt;0,PMT(BC19/12,Podsumowanie!E$8-SUM(AB$5:AB19)+1,BD19),0)</f>
        <v>0</v>
      </c>
      <c r="BI19" s="11">
        <f>BI$5+SUM(BK$5:BK18)+SUM(R$5:R18)-SUM(S$5:S18)</f>
        <v>400000</v>
      </c>
      <c r="BJ19" s="11">
        <f t="shared" si="5"/>
        <v>0</v>
      </c>
      <c r="BK19" s="11">
        <f t="shared" si="6"/>
        <v>0</v>
      </c>
      <c r="BL19" s="11">
        <f t="shared" si="7"/>
        <v>0</v>
      </c>
      <c r="BN19" s="44">
        <f t="shared" si="8"/>
        <v>0.0749</v>
      </c>
      <c r="BO19" s="11">
        <f>BO$5+SUM(BP$5:BP18)+SUM(R$5:R18)-SUM(S$5:S18)+SUM(BS$5:BS18)</f>
        <v>400000</v>
      </c>
      <c r="BP19" s="10">
        <f t="shared" si="46"/>
        <v>0</v>
      </c>
      <c r="BQ19" s="10">
        <f t="shared" si="47"/>
        <v>0</v>
      </c>
      <c r="BR19" s="10">
        <f>IF(U19&lt;0,PMT(BN19/12,Podsumowanie!E$8-SUM(AB$5:AB19)+1,BO19),0)</f>
        <v>0</v>
      </c>
      <c r="BS19" s="10">
        <f t="shared" si="41"/>
        <v>0</v>
      </c>
      <c r="BU19" s="11">
        <f>BU$5+SUM(BW$5:BW18)+SUM(R$5:R18)-SUM(S$5:S18)+SUM(BY$5,BY18)</f>
        <v>400000</v>
      </c>
      <c r="BV19" s="10">
        <f t="shared" si="9"/>
        <v>0</v>
      </c>
      <c r="BW19" s="10">
        <f t="shared" si="10"/>
        <v>0</v>
      </c>
      <c r="BX19" s="10">
        <f t="shared" si="48"/>
        <v>0</v>
      </c>
      <c r="BY19" s="10">
        <f t="shared" si="49"/>
        <v>0</v>
      </c>
      <c r="CA19" s="10">
        <f>CA$5+SUM(CB$5:CB18)+SUM(R$5:R18)-SUM(S$5:S18)-SUM(CC$5:CC18)</f>
        <v>400000</v>
      </c>
      <c r="CB19" s="10">
        <f t="shared" si="42"/>
        <v>0</v>
      </c>
      <c r="CC19" s="10">
        <f t="shared" si="43"/>
        <v>0</v>
      </c>
      <c r="CD19" s="10">
        <f t="shared" si="44"/>
        <v>0</v>
      </c>
      <c r="CF19" s="44">
        <f t="shared" si="11"/>
        <v>0.9389</v>
      </c>
      <c r="CG19" s="10">
        <f t="shared" si="45"/>
        <v>0</v>
      </c>
      <c r="CH19" s="4">
        <f t="shared" si="50"/>
        <v>0</v>
      </c>
    </row>
    <row r="20" spans="1:86" ht="15.75">
      <c r="A20" s="36"/>
      <c r="B20" s="113">
        <v>37712</v>
      </c>
      <c r="C20" s="77">
        <f t="shared" si="1"/>
        <v>2.8726</v>
      </c>
      <c r="D20" s="78">
        <f>C20*(1+Podsumowanie!E$11)</f>
        <v>2.9587779999999997</v>
      </c>
      <c r="E20" s="34">
        <f t="shared" si="12"/>
        <v>0</v>
      </c>
      <c r="F20" s="7">
        <f t="shared" si="13"/>
        <v>0</v>
      </c>
      <c r="G20" s="7">
        <f t="shared" si="14"/>
        <v>0</v>
      </c>
      <c r="H20" s="7">
        <f t="shared" si="15"/>
        <v>0</v>
      </c>
      <c r="I20" s="32"/>
      <c r="J20" s="4" t="str">
        <f t="shared" si="16"/>
        <v xml:space="preserve"> </v>
      </c>
      <c r="K20" s="4">
        <f>IF(B20&lt;Podsumowanie!E$7,0,K19+1)</f>
        <v>0</v>
      </c>
      <c r="L20" s="100">
        <f t="shared" si="2"/>
        <v>0.0031</v>
      </c>
      <c r="M20" s="38">
        <f>L20+Podsumowanie!E$6</f>
        <v>0.0151</v>
      </c>
      <c r="N20" s="101">
        <f>MAX(Podsumowanie!E$4+SUM(AA$5:AA19)-SUM(X$5:X20)+SUM(W$5:W20),0)</f>
        <v>181357.6981355522</v>
      </c>
      <c r="O20" s="102">
        <f>MAX(Podsumowanie!E$2+SUM(V$5:V19)-SUM(S$5:S20)+SUM(R$5:R20),0)</f>
        <v>400000</v>
      </c>
      <c r="P20" s="39">
        <f t="shared" si="17"/>
        <v>360</v>
      </c>
      <c r="Q20" s="40" t="str">
        <f>IF(AND(K20&gt;0,K20&lt;=Podsumowanie!E$9),"tak","nie")</f>
        <v>nie</v>
      </c>
      <c r="R20" s="41"/>
      <c r="S20" s="42"/>
      <c r="T20" s="88">
        <f t="shared" si="18"/>
        <v>0</v>
      </c>
      <c r="U20" s="89">
        <f>IF(Q20="tak",T20,IF(P20-SUM(AB$5:AB20)+1&gt;0,IF(Podsumowanie!E$7&lt;B20,IF(SUM(AB$5:AB20)-Podsumowanie!E$9+1&gt;0,PMT(M20/12,P20+1-SUM(AB$5:AB20),O20),T20),0),0))</f>
        <v>0</v>
      </c>
      <c r="V20" s="89">
        <f t="shared" si="19"/>
        <v>0</v>
      </c>
      <c r="W20" s="90" t="str">
        <f>IF(R20&gt;0,R20/(C20*(1-Podsumowanie!E$11))," ")</f>
        <v xml:space="preserve"> </v>
      </c>
      <c r="X20" s="90" t="str">
        <f t="shared" si="20"/>
        <v xml:space="preserve"> </v>
      </c>
      <c r="Y20" s="91">
        <f t="shared" si="21"/>
        <v>0</v>
      </c>
      <c r="Z20" s="90">
        <f>IF(P20-SUM(AB$5:AB20)+1&gt;0,IF(Podsumowanie!E$7&lt;B20,IF(SUM(AB$5:AB20)-Podsumowanie!E$9+1&gt;0,PMT(M20/12,P20+1-SUM(AB$5:AB20),N20),Y20),0),0)</f>
        <v>0</v>
      </c>
      <c r="AA20" s="90">
        <f t="shared" si="22"/>
        <v>0</v>
      </c>
      <c r="AB20" s="8" t="str">
        <f>IF(AND(Podsumowanie!E$7&lt;B20,SUM(AB$5:AB19)&lt;P19),1," ")</f>
        <v xml:space="preserve"> </v>
      </c>
      <c r="AD20" s="10">
        <f>Podsumowanie!E$4-SUM(AF$5:AF19)+SUM(W20:W$42)-SUM(X20:X$42)</f>
        <v>181357.6981355522</v>
      </c>
      <c r="AE20" s="10">
        <f t="shared" si="23"/>
        <v>0</v>
      </c>
      <c r="AF20" s="10">
        <f t="shared" si="24"/>
        <v>0</v>
      </c>
      <c r="AG20" s="10">
        <f t="shared" si="25"/>
        <v>0</v>
      </c>
      <c r="AH20" s="10">
        <f t="shared" si="26"/>
        <v>0</v>
      </c>
      <c r="AI20" s="10">
        <f>Podsumowanie!E$2-SUM(AK$5:AK19)+SUM(R20:R$42)-SUM(S20:S$42)</f>
        <v>400000</v>
      </c>
      <c r="AJ20" s="10">
        <f t="shared" si="27"/>
        <v>0</v>
      </c>
      <c r="AK20" s="10">
        <f t="shared" si="28"/>
        <v>0</v>
      </c>
      <c r="AL20" s="10">
        <f t="shared" si="29"/>
        <v>0</v>
      </c>
      <c r="AM20" s="10">
        <f t="shared" si="30"/>
        <v>0</v>
      </c>
      <c r="AO20" s="43">
        <f t="shared" si="31"/>
        <v>37712</v>
      </c>
      <c r="AP20" s="11">
        <f>AP$5+SUM(AS$5:AS19)-SUM(X$5:X20)+SUM(W$5:W20)</f>
        <v>175916.96719148563</v>
      </c>
      <c r="AQ20" s="10">
        <f t="shared" si="32"/>
        <v>0</v>
      </c>
      <c r="AR20" s="10">
        <f>IF(AB20=1,IF(Q20="tak",AQ20,PMT(M20/12,P20+1-SUM(AB$5:AB20),AP20)),0)</f>
        <v>0</v>
      </c>
      <c r="AS20" s="10">
        <f t="shared" si="33"/>
        <v>0</v>
      </c>
      <c r="AT20" s="10">
        <f t="shared" si="34"/>
        <v>0</v>
      </c>
      <c r="AV20" s="11">
        <f>AV$5+SUM(AX$5:AX19)+SUM(W$5:W19)-SUM(X$5:X19)</f>
        <v>175916.96719148563</v>
      </c>
      <c r="AW20" s="11">
        <f t="shared" si="35"/>
        <v>0</v>
      </c>
      <c r="AX20" s="11">
        <f t="shared" si="36"/>
        <v>0</v>
      </c>
      <c r="AY20" s="11">
        <f t="shared" si="37"/>
        <v>0</v>
      </c>
      <c r="AZ20" s="11">
        <f t="shared" si="38"/>
        <v>0</v>
      </c>
      <c r="BB20" s="191">
        <f t="shared" si="4"/>
        <v>0.0597</v>
      </c>
      <c r="BC20" s="44">
        <f>BB20+Podsumowanie!$E$6</f>
        <v>0.0717</v>
      </c>
      <c r="BD20" s="11">
        <f>BD$5+SUM(BE$5:BE19)+SUM(R$5:R19)-SUM(S$5:S19)</f>
        <v>400000</v>
      </c>
      <c r="BE20" s="10">
        <f t="shared" si="39"/>
        <v>0</v>
      </c>
      <c r="BF20" s="10">
        <f t="shared" si="40"/>
        <v>0</v>
      </c>
      <c r="BG20" s="10">
        <f>IF(U20&lt;0,PMT(BC20/12,Podsumowanie!E$8-SUM(AB$5:AB20)+1,BD20),0)</f>
        <v>0</v>
      </c>
      <c r="BI20" s="11">
        <f>BI$5+SUM(BK$5:BK19)+SUM(R$5:R19)-SUM(S$5:S19)</f>
        <v>400000</v>
      </c>
      <c r="BJ20" s="11">
        <f t="shared" si="5"/>
        <v>0</v>
      </c>
      <c r="BK20" s="11">
        <f t="shared" si="6"/>
        <v>0</v>
      </c>
      <c r="BL20" s="11">
        <f t="shared" si="7"/>
        <v>0</v>
      </c>
      <c r="BN20" s="44">
        <f t="shared" si="8"/>
        <v>0.0718</v>
      </c>
      <c r="BO20" s="11">
        <f>BO$5+SUM(BP$5:BP19)+SUM(R$5:R19)-SUM(S$5:S19)+SUM(BS$5:BS19)</f>
        <v>400000</v>
      </c>
      <c r="BP20" s="10">
        <f t="shared" si="46"/>
        <v>0</v>
      </c>
      <c r="BQ20" s="10">
        <f t="shared" si="47"/>
        <v>0</v>
      </c>
      <c r="BR20" s="10">
        <f>IF(U20&lt;0,PMT(BN20/12,Podsumowanie!E$8-SUM(AB$5:AB20)+1,BO20),0)</f>
        <v>0</v>
      </c>
      <c r="BS20" s="10">
        <f t="shared" si="41"/>
        <v>0</v>
      </c>
      <c r="BU20" s="11">
        <f>BU$5+SUM(BW$5:BW19)+SUM(R$5:R19)-SUM(S$5:S19)+SUM(BY$5,BY19)</f>
        <v>400000</v>
      </c>
      <c r="BV20" s="10">
        <f t="shared" si="9"/>
        <v>0</v>
      </c>
      <c r="BW20" s="10">
        <f t="shared" si="10"/>
        <v>0</v>
      </c>
      <c r="BX20" s="10">
        <f t="shared" si="48"/>
        <v>0</v>
      </c>
      <c r="BY20" s="10">
        <f t="shared" si="49"/>
        <v>0</v>
      </c>
      <c r="CA20" s="10">
        <f>CA$5+SUM(CB$5:CB19)+SUM(R$5:R19)-SUM(S$5:S19)-SUM(CC$5:CC19)</f>
        <v>400000</v>
      </c>
      <c r="CB20" s="10">
        <f t="shared" si="42"/>
        <v>0</v>
      </c>
      <c r="CC20" s="10">
        <f t="shared" si="43"/>
        <v>0</v>
      </c>
      <c r="CD20" s="10">
        <f t="shared" si="44"/>
        <v>0</v>
      </c>
      <c r="CF20" s="44">
        <f t="shared" si="11"/>
        <v>0.935</v>
      </c>
      <c r="CG20" s="10">
        <f t="shared" si="45"/>
        <v>0</v>
      </c>
      <c r="CH20" s="4">
        <f t="shared" si="50"/>
        <v>0</v>
      </c>
    </row>
    <row r="21" spans="1:86" ht="15.75">
      <c r="A21" s="36"/>
      <c r="B21" s="113">
        <v>37742</v>
      </c>
      <c r="C21" s="77">
        <f t="shared" si="1"/>
        <v>2.8555</v>
      </c>
      <c r="D21" s="78">
        <f>C21*(1+Podsumowanie!E$11)</f>
        <v>2.9411650000000003</v>
      </c>
      <c r="E21" s="34">
        <f t="shared" si="12"/>
        <v>0</v>
      </c>
      <c r="F21" s="7">
        <f t="shared" si="13"/>
        <v>0</v>
      </c>
      <c r="G21" s="7">
        <f t="shared" si="14"/>
        <v>0</v>
      </c>
      <c r="H21" s="7">
        <f t="shared" si="15"/>
        <v>0</v>
      </c>
      <c r="I21" s="32"/>
      <c r="J21" s="4" t="str">
        <f t="shared" si="16"/>
        <v xml:space="preserve"> </v>
      </c>
      <c r="K21" s="4">
        <f>IF(B21&lt;Podsumowanie!E$7,0,K20+1)</f>
        <v>0</v>
      </c>
      <c r="L21" s="100">
        <f t="shared" si="2"/>
        <v>0.003</v>
      </c>
      <c r="M21" s="38">
        <f>L21+Podsumowanie!E$6</f>
        <v>0.015</v>
      </c>
      <c r="N21" s="101">
        <f>MAX(Podsumowanie!E$4+SUM(AA$5:AA20)-SUM(X$5:X21)+SUM(W$5:W21),0)</f>
        <v>181357.6981355522</v>
      </c>
      <c r="O21" s="102">
        <f>MAX(Podsumowanie!E$2+SUM(V$5:V20)-SUM(S$5:S21)+SUM(R$5:R21),0)</f>
        <v>400000</v>
      </c>
      <c r="P21" s="39">
        <f t="shared" si="17"/>
        <v>360</v>
      </c>
      <c r="Q21" s="40" t="str">
        <f>IF(AND(K21&gt;0,K21&lt;=Podsumowanie!E$9),"tak","nie")</f>
        <v>nie</v>
      </c>
      <c r="R21" s="41"/>
      <c r="S21" s="42"/>
      <c r="T21" s="88">
        <f t="shared" si="18"/>
        <v>0</v>
      </c>
      <c r="U21" s="89">
        <f>IF(Q21="tak",T21,IF(P21-SUM(AB$5:AB21)+1&gt;0,IF(Podsumowanie!E$7&lt;B21,IF(SUM(AB$5:AB21)-Podsumowanie!E$9+1&gt;0,PMT(M21/12,P21+1-SUM(AB$5:AB21),O21),T21),0),0))</f>
        <v>0</v>
      </c>
      <c r="V21" s="89">
        <f t="shared" si="19"/>
        <v>0</v>
      </c>
      <c r="W21" s="90" t="str">
        <f>IF(R21&gt;0,R21/(C21*(1-Podsumowanie!E$11))," ")</f>
        <v xml:space="preserve"> </v>
      </c>
      <c r="X21" s="90" t="str">
        <f t="shared" si="20"/>
        <v xml:space="preserve"> </v>
      </c>
      <c r="Y21" s="91">
        <f t="shared" si="21"/>
        <v>0</v>
      </c>
      <c r="Z21" s="90">
        <f>IF(P21-SUM(AB$5:AB21)+1&gt;0,IF(Podsumowanie!E$7&lt;B21,IF(SUM(AB$5:AB21)-Podsumowanie!E$9+1&gt;0,PMT(M21/12,P21+1-SUM(AB$5:AB21),N21),Y21),0),0)</f>
        <v>0</v>
      </c>
      <c r="AA21" s="90">
        <f t="shared" si="22"/>
        <v>0</v>
      </c>
      <c r="AB21" s="8" t="str">
        <f>IF(AND(Podsumowanie!E$7&lt;B21,SUM(AB$5:AB20)&lt;P20),1," ")</f>
        <v xml:space="preserve"> </v>
      </c>
      <c r="AD21" s="10">
        <f>Podsumowanie!E$4-SUM(AF$5:AF20)+SUM(W21:W$42)-SUM(X21:X$42)</f>
        <v>181357.6981355522</v>
      </c>
      <c r="AE21" s="10">
        <f t="shared" si="23"/>
        <v>0</v>
      </c>
      <c r="AF21" s="10">
        <f t="shared" si="24"/>
        <v>0</v>
      </c>
      <c r="AG21" s="10">
        <f t="shared" si="25"/>
        <v>0</v>
      </c>
      <c r="AH21" s="10">
        <f t="shared" si="26"/>
        <v>0</v>
      </c>
      <c r="AI21" s="10">
        <f>Podsumowanie!E$2-SUM(AK$5:AK20)+SUM(R21:R$42)-SUM(S21:S$42)</f>
        <v>400000</v>
      </c>
      <c r="AJ21" s="10">
        <f t="shared" si="27"/>
        <v>0</v>
      </c>
      <c r="AK21" s="10">
        <f t="shared" si="28"/>
        <v>0</v>
      </c>
      <c r="AL21" s="10">
        <f t="shared" si="29"/>
        <v>0</v>
      </c>
      <c r="AM21" s="10">
        <f t="shared" si="30"/>
        <v>0</v>
      </c>
      <c r="AO21" s="43">
        <f t="shared" si="31"/>
        <v>37742</v>
      </c>
      <c r="AP21" s="11">
        <f>AP$5+SUM(AS$5:AS20)-SUM(X$5:X21)+SUM(W$5:W21)</f>
        <v>175916.96719148563</v>
      </c>
      <c r="AQ21" s="10">
        <f t="shared" si="32"/>
        <v>0</v>
      </c>
      <c r="AR21" s="10">
        <f>IF(AB21=1,IF(Q21="tak",AQ21,PMT(M21/12,P21+1-SUM(AB$5:AB21),AP21)),0)</f>
        <v>0</v>
      </c>
      <c r="AS21" s="10">
        <f t="shared" si="33"/>
        <v>0</v>
      </c>
      <c r="AT21" s="10">
        <f t="shared" si="34"/>
        <v>0</v>
      </c>
      <c r="AV21" s="11">
        <f>AV$5+SUM(AX$5:AX20)+SUM(W$5:W20)-SUM(X$5:X20)</f>
        <v>175916.96719148563</v>
      </c>
      <c r="AW21" s="11">
        <f t="shared" si="35"/>
        <v>0</v>
      </c>
      <c r="AX21" s="11">
        <f t="shared" si="36"/>
        <v>0</v>
      </c>
      <c r="AY21" s="11">
        <f t="shared" si="37"/>
        <v>0</v>
      </c>
      <c r="AZ21" s="11">
        <f t="shared" si="38"/>
        <v>0</v>
      </c>
      <c r="BB21" s="191">
        <f t="shared" si="4"/>
        <v>0.057</v>
      </c>
      <c r="BC21" s="44">
        <f>BB21+Podsumowanie!$E$6</f>
        <v>0.069</v>
      </c>
      <c r="BD21" s="11">
        <f>BD$5+SUM(BE$5:BE20)+SUM(R$5:R20)-SUM(S$5:S20)</f>
        <v>400000</v>
      </c>
      <c r="BE21" s="10">
        <f t="shared" si="39"/>
        <v>0</v>
      </c>
      <c r="BF21" s="10">
        <f t="shared" si="40"/>
        <v>0</v>
      </c>
      <c r="BG21" s="10">
        <f>IF(U21&lt;0,PMT(BC21/12,Podsumowanie!E$8-SUM(AB$5:AB21)+1,BD21),0)</f>
        <v>0</v>
      </c>
      <c r="BI21" s="11">
        <f>BI$5+SUM(BK$5:BK20)+SUM(R$5:R20)-SUM(S$5:S20)</f>
        <v>400000</v>
      </c>
      <c r="BJ21" s="11">
        <f t="shared" si="5"/>
        <v>0</v>
      </c>
      <c r="BK21" s="11">
        <f t="shared" si="6"/>
        <v>0</v>
      </c>
      <c r="BL21" s="11">
        <f t="shared" si="7"/>
        <v>0</v>
      </c>
      <c r="BN21" s="44">
        <f t="shared" si="8"/>
        <v>0.0691</v>
      </c>
      <c r="BO21" s="11">
        <f>BO$5+SUM(BP$5:BP20)+SUM(R$5:R20)-SUM(S$5:S20)+SUM(BS$5:BS20)</f>
        <v>400000</v>
      </c>
      <c r="BP21" s="10">
        <f t="shared" si="46"/>
        <v>0</v>
      </c>
      <c r="BQ21" s="10">
        <f t="shared" si="47"/>
        <v>0</v>
      </c>
      <c r="BR21" s="10">
        <f>IF(U21&lt;0,PMT(BN21/12,Podsumowanie!E$8-SUM(AB$5:AB21)+1,BO21),0)</f>
        <v>0</v>
      </c>
      <c r="BS21" s="10">
        <f t="shared" si="41"/>
        <v>0</v>
      </c>
      <c r="BU21" s="11">
        <f>BU$5+SUM(BW$5:BW20)+SUM(R$5:R20)-SUM(S$5:S20)+SUM(BY$5,BY20)</f>
        <v>400000</v>
      </c>
      <c r="BV21" s="10">
        <f t="shared" si="9"/>
        <v>0</v>
      </c>
      <c r="BW21" s="10">
        <f t="shared" si="10"/>
        <v>0</v>
      </c>
      <c r="BX21" s="10">
        <f t="shared" si="48"/>
        <v>0</v>
      </c>
      <c r="BY21" s="10">
        <f t="shared" si="49"/>
        <v>0</v>
      </c>
      <c r="CA21" s="10">
        <f>CA$5+SUM(CB$5:CB20)+SUM(R$5:R20)-SUM(S$5:S20)-SUM(CC$5:CC20)</f>
        <v>400000</v>
      </c>
      <c r="CB21" s="10">
        <f t="shared" si="42"/>
        <v>0</v>
      </c>
      <c r="CC21" s="10">
        <f t="shared" si="43"/>
        <v>0</v>
      </c>
      <c r="CD21" s="10">
        <f t="shared" si="44"/>
        <v>0</v>
      </c>
      <c r="CF21" s="44">
        <f t="shared" si="11"/>
        <v>0.935</v>
      </c>
      <c r="CG21" s="10">
        <f t="shared" si="45"/>
        <v>0</v>
      </c>
      <c r="CH21" s="4">
        <f t="shared" si="50"/>
        <v>0</v>
      </c>
    </row>
    <row r="22" spans="1:86" ht="15.75">
      <c r="A22" s="36"/>
      <c r="B22" s="113">
        <v>37773</v>
      </c>
      <c r="C22" s="77">
        <f t="shared" si="1"/>
        <v>2.8789</v>
      </c>
      <c r="D22" s="78">
        <f>C22*(1+Podsumowanie!E$11)</f>
        <v>2.965267</v>
      </c>
      <c r="E22" s="34">
        <f t="shared" si="12"/>
        <v>0</v>
      </c>
      <c r="F22" s="7">
        <f t="shared" si="13"/>
        <v>0</v>
      </c>
      <c r="G22" s="7">
        <f t="shared" si="14"/>
        <v>0</v>
      </c>
      <c r="H22" s="7">
        <f t="shared" si="15"/>
        <v>0</v>
      </c>
      <c r="I22" s="32"/>
      <c r="J22" s="4" t="str">
        <f t="shared" si="16"/>
        <v xml:space="preserve"> </v>
      </c>
      <c r="K22" s="4">
        <f>IF(B22&lt;Podsumowanie!E$7,0,K21+1)</f>
        <v>0</v>
      </c>
      <c r="L22" s="100">
        <f t="shared" si="2"/>
        <v>0.0029</v>
      </c>
      <c r="M22" s="38">
        <f>L22+Podsumowanie!E$6</f>
        <v>0.0149</v>
      </c>
      <c r="N22" s="101">
        <f>MAX(Podsumowanie!E$4+SUM(AA$5:AA21)-SUM(X$5:X22)+SUM(W$5:W22),0)</f>
        <v>181357.6981355522</v>
      </c>
      <c r="O22" s="102">
        <f>MAX(Podsumowanie!E$2+SUM(V$5:V21)-SUM(S$5:S22)+SUM(R$5:R22),0)</f>
        <v>400000</v>
      </c>
      <c r="P22" s="39">
        <f t="shared" si="17"/>
        <v>360</v>
      </c>
      <c r="Q22" s="40" t="str">
        <f>IF(AND(K22&gt;0,K22&lt;=Podsumowanie!E$9),"tak","nie")</f>
        <v>nie</v>
      </c>
      <c r="R22" s="41"/>
      <c r="S22" s="42"/>
      <c r="T22" s="88">
        <f t="shared" si="18"/>
        <v>0</v>
      </c>
      <c r="U22" s="89">
        <f>IF(Q22="tak",T22,IF(P22-SUM(AB$5:AB22)+1&gt;0,IF(Podsumowanie!E$7&lt;B22,IF(SUM(AB$5:AB22)-Podsumowanie!E$9+1&gt;0,PMT(M22/12,P22+1-SUM(AB$5:AB22),O22),T22),0),0))</f>
        <v>0</v>
      </c>
      <c r="V22" s="89">
        <f t="shared" si="19"/>
        <v>0</v>
      </c>
      <c r="W22" s="90" t="str">
        <f>IF(R22&gt;0,R22/(C22*(1-Podsumowanie!E$11))," ")</f>
        <v xml:space="preserve"> </v>
      </c>
      <c r="X22" s="90" t="str">
        <f t="shared" si="20"/>
        <v xml:space="preserve"> </v>
      </c>
      <c r="Y22" s="91">
        <f t="shared" si="21"/>
        <v>0</v>
      </c>
      <c r="Z22" s="90">
        <f>IF(P22-SUM(AB$5:AB22)+1&gt;0,IF(Podsumowanie!E$7&lt;B22,IF(SUM(AB$5:AB22)-Podsumowanie!E$9+1&gt;0,PMT(M22/12,P22+1-SUM(AB$5:AB22),N22),Y22),0),0)</f>
        <v>0</v>
      </c>
      <c r="AA22" s="90">
        <f t="shared" si="22"/>
        <v>0</v>
      </c>
      <c r="AB22" s="8" t="str">
        <f>IF(AND(Podsumowanie!E$7&lt;B22,SUM(AB$5:AB21)&lt;P21),1," ")</f>
        <v xml:space="preserve"> </v>
      </c>
      <c r="AD22" s="10">
        <f>Podsumowanie!E$4-SUM(AF$5:AF21)+SUM(W22:W$42)-SUM(X22:X$42)</f>
        <v>181357.6981355522</v>
      </c>
      <c r="AE22" s="10">
        <f t="shared" si="23"/>
        <v>0</v>
      </c>
      <c r="AF22" s="10">
        <f t="shared" si="24"/>
        <v>0</v>
      </c>
      <c r="AG22" s="10">
        <f t="shared" si="25"/>
        <v>0</v>
      </c>
      <c r="AH22" s="10">
        <f t="shared" si="26"/>
        <v>0</v>
      </c>
      <c r="AI22" s="10">
        <f>Podsumowanie!E$2-SUM(AK$5:AK21)+SUM(R22:R$42)-SUM(S22:S$42)</f>
        <v>400000</v>
      </c>
      <c r="AJ22" s="10">
        <f t="shared" si="27"/>
        <v>0</v>
      </c>
      <c r="AK22" s="10">
        <f t="shared" si="28"/>
        <v>0</v>
      </c>
      <c r="AL22" s="10">
        <f t="shared" si="29"/>
        <v>0</v>
      </c>
      <c r="AM22" s="10">
        <f t="shared" si="30"/>
        <v>0</v>
      </c>
      <c r="AO22" s="43">
        <f t="shared" si="31"/>
        <v>37773</v>
      </c>
      <c r="AP22" s="11">
        <f>AP$5+SUM(AS$5:AS21)-SUM(X$5:X22)+SUM(W$5:W22)</f>
        <v>175916.96719148563</v>
      </c>
      <c r="AQ22" s="10">
        <f t="shared" si="32"/>
        <v>0</v>
      </c>
      <c r="AR22" s="10">
        <f>IF(AB22=1,IF(Q22="tak",AQ22,PMT(M22/12,P22+1-SUM(AB$5:AB22),AP22)),0)</f>
        <v>0</v>
      </c>
      <c r="AS22" s="10">
        <f t="shared" si="33"/>
        <v>0</v>
      </c>
      <c r="AT22" s="10">
        <f t="shared" si="34"/>
        <v>0</v>
      </c>
      <c r="AV22" s="11">
        <f>AV$5+SUM(AX$5:AX21)+SUM(W$5:W21)-SUM(X$5:X21)</f>
        <v>175916.96719148563</v>
      </c>
      <c r="AW22" s="11">
        <f t="shared" si="35"/>
        <v>0</v>
      </c>
      <c r="AX22" s="11">
        <f t="shared" si="36"/>
        <v>0</v>
      </c>
      <c r="AY22" s="11">
        <f t="shared" si="37"/>
        <v>0</v>
      </c>
      <c r="AZ22" s="11">
        <f t="shared" si="38"/>
        <v>0</v>
      </c>
      <c r="BB22" s="191">
        <f t="shared" si="4"/>
        <v>0.054</v>
      </c>
      <c r="BC22" s="44">
        <f>BB22+Podsumowanie!$E$6</f>
        <v>0.066</v>
      </c>
      <c r="BD22" s="11">
        <f>BD$5+SUM(BE$5:BE21)+SUM(R$5:R21)-SUM(S$5:S21)</f>
        <v>400000</v>
      </c>
      <c r="BE22" s="10">
        <f t="shared" si="39"/>
        <v>0</v>
      </c>
      <c r="BF22" s="10">
        <f t="shared" si="40"/>
        <v>0</v>
      </c>
      <c r="BG22" s="10">
        <f>IF(U22&lt;0,PMT(BC22/12,Podsumowanie!E$8-SUM(AB$5:AB22)+1,BD22),0)</f>
        <v>0</v>
      </c>
      <c r="BI22" s="11">
        <f>BI$5+SUM(BK$5:BK21)+SUM(R$5:R21)-SUM(S$5:S21)</f>
        <v>400000</v>
      </c>
      <c r="BJ22" s="11">
        <f t="shared" si="5"/>
        <v>0</v>
      </c>
      <c r="BK22" s="11">
        <f t="shared" si="6"/>
        <v>0</v>
      </c>
      <c r="BL22" s="11">
        <f t="shared" si="7"/>
        <v>0</v>
      </c>
      <c r="BN22" s="44">
        <f t="shared" si="8"/>
        <v>0.06609999999999999</v>
      </c>
      <c r="BO22" s="11">
        <f>BO$5+SUM(BP$5:BP21)+SUM(R$5:R21)-SUM(S$5:S21)+SUM(BS$5:BS21)</f>
        <v>400000</v>
      </c>
      <c r="BP22" s="10">
        <f t="shared" si="46"/>
        <v>0</v>
      </c>
      <c r="BQ22" s="10">
        <f t="shared" si="47"/>
        <v>0</v>
      </c>
      <c r="BR22" s="10">
        <f>IF(U22&lt;0,PMT(BN22/12,Podsumowanie!E$8-SUM(AB$5:AB22)+1,BO22),0)</f>
        <v>0</v>
      </c>
      <c r="BS22" s="10">
        <f t="shared" si="41"/>
        <v>0</v>
      </c>
      <c r="BU22" s="11">
        <f>BU$5+SUM(BW$5:BW21)+SUM(R$5:R21)-SUM(S$5:S21)+SUM(BY$5,BY21)</f>
        <v>400000</v>
      </c>
      <c r="BV22" s="10">
        <f t="shared" si="9"/>
        <v>0</v>
      </c>
      <c r="BW22" s="10">
        <f t="shared" si="10"/>
        <v>0</v>
      </c>
      <c r="BX22" s="10">
        <f t="shared" si="48"/>
        <v>0</v>
      </c>
      <c r="BY22" s="10">
        <f t="shared" si="49"/>
        <v>0</v>
      </c>
      <c r="CA22" s="10">
        <f>CA$5+SUM(CB$5:CB21)+SUM(R$5:R21)-SUM(S$5:S21)-SUM(CC$5:CC21)</f>
        <v>400000</v>
      </c>
      <c r="CB22" s="10">
        <f t="shared" si="42"/>
        <v>0</v>
      </c>
      <c r="CC22" s="10">
        <f t="shared" si="43"/>
        <v>0</v>
      </c>
      <c r="CD22" s="10">
        <f t="shared" si="44"/>
        <v>0</v>
      </c>
      <c r="CF22" s="44">
        <f t="shared" si="11"/>
        <v>0.937</v>
      </c>
      <c r="CG22" s="10">
        <f t="shared" si="45"/>
        <v>0</v>
      </c>
      <c r="CH22" s="4">
        <f t="shared" si="50"/>
        <v>0</v>
      </c>
    </row>
    <row r="23" spans="1:86" ht="15.75">
      <c r="A23" s="36"/>
      <c r="B23" s="113">
        <v>37803</v>
      </c>
      <c r="C23" s="77">
        <f t="shared" si="1"/>
        <v>2.8722</v>
      </c>
      <c r="D23" s="78">
        <f>C23*(1+Podsumowanie!E$11)</f>
        <v>2.958366</v>
      </c>
      <c r="E23" s="34">
        <f t="shared" si="12"/>
        <v>0</v>
      </c>
      <c r="F23" s="7">
        <f t="shared" si="13"/>
        <v>0</v>
      </c>
      <c r="G23" s="7">
        <f t="shared" si="14"/>
        <v>0</v>
      </c>
      <c r="H23" s="7">
        <f t="shared" si="15"/>
        <v>0</v>
      </c>
      <c r="I23" s="32"/>
      <c r="J23" s="4" t="str">
        <f t="shared" si="16"/>
        <v xml:space="preserve"> </v>
      </c>
      <c r="K23" s="4">
        <f>IF(B23&lt;Podsumowanie!E$7,0,K22+1)</f>
        <v>0</v>
      </c>
      <c r="L23" s="100">
        <f t="shared" si="2"/>
        <v>0.0028</v>
      </c>
      <c r="M23" s="38">
        <f>L23+Podsumowanie!E$6</f>
        <v>0.0148</v>
      </c>
      <c r="N23" s="101">
        <f>MAX(Podsumowanie!E$4+SUM(AA$5:AA22)-SUM(X$5:X23)+SUM(W$5:W23),0)</f>
        <v>181357.6981355522</v>
      </c>
      <c r="O23" s="102">
        <f>MAX(Podsumowanie!E$2+SUM(V$5:V22)-SUM(S$5:S23)+SUM(R$5:R23),0)</f>
        <v>400000</v>
      </c>
      <c r="P23" s="39">
        <f t="shared" si="17"/>
        <v>360</v>
      </c>
      <c r="Q23" s="40" t="str">
        <f>IF(AND(K23&gt;0,K23&lt;=Podsumowanie!E$9),"tak","nie")</f>
        <v>nie</v>
      </c>
      <c r="R23" s="41"/>
      <c r="S23" s="42"/>
      <c r="T23" s="88">
        <f t="shared" si="18"/>
        <v>0</v>
      </c>
      <c r="U23" s="89">
        <f>IF(Q23="tak",T23,IF(P23-SUM(AB$5:AB23)+1&gt;0,IF(Podsumowanie!E$7&lt;B23,IF(SUM(AB$5:AB23)-Podsumowanie!E$9+1&gt;0,PMT(M23/12,P23+1-SUM(AB$5:AB23),O23),T23),0),0))</f>
        <v>0</v>
      </c>
      <c r="V23" s="89">
        <f t="shared" si="19"/>
        <v>0</v>
      </c>
      <c r="W23" s="90" t="str">
        <f>IF(R23&gt;0,R23/(C23*(1-Podsumowanie!E$11))," ")</f>
        <v xml:space="preserve"> </v>
      </c>
      <c r="X23" s="90" t="str">
        <f t="shared" si="20"/>
        <v xml:space="preserve"> </v>
      </c>
      <c r="Y23" s="91">
        <f t="shared" si="21"/>
        <v>0</v>
      </c>
      <c r="Z23" s="90">
        <f>IF(P23-SUM(AB$5:AB23)+1&gt;0,IF(Podsumowanie!E$7&lt;B23,IF(SUM(AB$5:AB23)-Podsumowanie!E$9+1&gt;0,PMT(M23/12,P23+1-SUM(AB$5:AB23),N23),Y23),0),0)</f>
        <v>0</v>
      </c>
      <c r="AA23" s="90">
        <f t="shared" si="22"/>
        <v>0</v>
      </c>
      <c r="AB23" s="8" t="str">
        <f>IF(AND(Podsumowanie!E$7&lt;B23,SUM(AB$5:AB22)&lt;P22),1," ")</f>
        <v xml:space="preserve"> </v>
      </c>
      <c r="AD23" s="10">
        <f>Podsumowanie!E$4-SUM(AF$5:AF22)+SUM(W23:W$42)-SUM(X23:X$42)</f>
        <v>181357.6981355522</v>
      </c>
      <c r="AE23" s="10">
        <f t="shared" si="23"/>
        <v>0</v>
      </c>
      <c r="AF23" s="10">
        <f t="shared" si="24"/>
        <v>0</v>
      </c>
      <c r="AG23" s="10">
        <f t="shared" si="25"/>
        <v>0</v>
      </c>
      <c r="AH23" s="10">
        <f t="shared" si="26"/>
        <v>0</v>
      </c>
      <c r="AI23" s="10">
        <f>Podsumowanie!E$2-SUM(AK$5:AK22)+SUM(R23:R$42)-SUM(S23:S$42)</f>
        <v>400000</v>
      </c>
      <c r="AJ23" s="10">
        <f t="shared" si="27"/>
        <v>0</v>
      </c>
      <c r="AK23" s="10">
        <f t="shared" si="28"/>
        <v>0</v>
      </c>
      <c r="AL23" s="10">
        <f t="shared" si="29"/>
        <v>0</v>
      </c>
      <c r="AM23" s="10">
        <f t="shared" si="30"/>
        <v>0</v>
      </c>
      <c r="AO23" s="43">
        <f t="shared" si="31"/>
        <v>37803</v>
      </c>
      <c r="AP23" s="11">
        <f>AP$5+SUM(AS$5:AS22)-SUM(X$5:X23)+SUM(W$5:W23)</f>
        <v>175916.96719148563</v>
      </c>
      <c r="AQ23" s="10">
        <f t="shared" si="32"/>
        <v>0</v>
      </c>
      <c r="AR23" s="10">
        <f>IF(AB23=1,IF(Q23="tak",AQ23,PMT(M23/12,P23+1-SUM(AB$5:AB23),AP23)),0)</f>
        <v>0</v>
      </c>
      <c r="AS23" s="10">
        <f t="shared" si="33"/>
        <v>0</v>
      </c>
      <c r="AT23" s="10">
        <f t="shared" si="34"/>
        <v>0</v>
      </c>
      <c r="AV23" s="11">
        <f>AV$5+SUM(AX$5:AX22)+SUM(W$5:W22)-SUM(X$5:X22)</f>
        <v>175916.96719148563</v>
      </c>
      <c r="AW23" s="11">
        <f t="shared" si="35"/>
        <v>0</v>
      </c>
      <c r="AX23" s="11">
        <f t="shared" si="36"/>
        <v>0</v>
      </c>
      <c r="AY23" s="11">
        <f t="shared" si="37"/>
        <v>0</v>
      </c>
      <c r="AZ23" s="11">
        <f t="shared" si="38"/>
        <v>0</v>
      </c>
      <c r="BB23" s="191">
        <f t="shared" si="4"/>
        <v>0.0529</v>
      </c>
      <c r="BC23" s="44">
        <f>BB23+Podsumowanie!$E$6</f>
        <v>0.0649</v>
      </c>
      <c r="BD23" s="11">
        <f>BD$5+SUM(BE$5:BE22)+SUM(R$5:R22)-SUM(S$5:S22)</f>
        <v>400000</v>
      </c>
      <c r="BE23" s="10">
        <f t="shared" si="39"/>
        <v>0</v>
      </c>
      <c r="BF23" s="10">
        <f t="shared" si="40"/>
        <v>0</v>
      </c>
      <c r="BG23" s="10">
        <f>IF(U23&lt;0,PMT(BC23/12,Podsumowanie!E$8-SUM(AB$5:AB23)+1,BD23),0)</f>
        <v>0</v>
      </c>
      <c r="BI23" s="11">
        <f>BI$5+SUM(BK$5:BK22)+SUM(R$5:R22)-SUM(S$5:S22)</f>
        <v>400000</v>
      </c>
      <c r="BJ23" s="11">
        <f t="shared" si="5"/>
        <v>0</v>
      </c>
      <c r="BK23" s="11">
        <f t="shared" si="6"/>
        <v>0</v>
      </c>
      <c r="BL23" s="11">
        <f t="shared" si="7"/>
        <v>0</v>
      </c>
      <c r="BN23" s="44">
        <f t="shared" si="8"/>
        <v>0.065</v>
      </c>
      <c r="BO23" s="11">
        <f>BO$5+SUM(BP$5:BP22)+SUM(R$5:R22)-SUM(S$5:S22)+SUM(BS$5:BS22)</f>
        <v>400000</v>
      </c>
      <c r="BP23" s="10">
        <f t="shared" si="46"/>
        <v>0</v>
      </c>
      <c r="BQ23" s="10">
        <f t="shared" si="47"/>
        <v>0</v>
      </c>
      <c r="BR23" s="10">
        <f>IF(U23&lt;0,PMT(BN23/12,Podsumowanie!E$8-SUM(AB$5:AB23)+1,BO23),0)</f>
        <v>0</v>
      </c>
      <c r="BS23" s="10">
        <f t="shared" si="41"/>
        <v>0</v>
      </c>
      <c r="BU23" s="11">
        <f>BU$5+SUM(BW$5:BW22)+SUM(R$5:R22)-SUM(S$5:S22)+SUM(BY$5,BY22)</f>
        <v>400000</v>
      </c>
      <c r="BV23" s="10">
        <f t="shared" si="9"/>
        <v>0</v>
      </c>
      <c r="BW23" s="10">
        <f t="shared" si="10"/>
        <v>0</v>
      </c>
      <c r="BX23" s="10">
        <f t="shared" si="48"/>
        <v>0</v>
      </c>
      <c r="BY23" s="10">
        <f t="shared" si="49"/>
        <v>0</v>
      </c>
      <c r="CA23" s="10">
        <f>CA$5+SUM(CB$5:CB22)+SUM(R$5:R22)-SUM(S$5:S22)-SUM(CC$5:CC22)</f>
        <v>400000</v>
      </c>
      <c r="CB23" s="10">
        <f t="shared" si="42"/>
        <v>0</v>
      </c>
      <c r="CC23" s="10">
        <f t="shared" si="43"/>
        <v>0</v>
      </c>
      <c r="CD23" s="10">
        <f t="shared" si="44"/>
        <v>0</v>
      </c>
      <c r="CF23" s="44">
        <f t="shared" si="11"/>
        <v>0.9447</v>
      </c>
      <c r="CG23" s="10">
        <f t="shared" si="45"/>
        <v>0</v>
      </c>
      <c r="CH23" s="4">
        <f t="shared" si="50"/>
        <v>0</v>
      </c>
    </row>
    <row r="24" spans="1:86" ht="15.75">
      <c r="A24" s="36"/>
      <c r="B24" s="113">
        <v>37834</v>
      </c>
      <c r="C24" s="77">
        <f t="shared" si="1"/>
        <v>2.8345</v>
      </c>
      <c r="D24" s="78">
        <f>C24*(1+Podsumowanie!E$11)</f>
        <v>2.9195349999999998</v>
      </c>
      <c r="E24" s="34">
        <f t="shared" si="12"/>
        <v>0</v>
      </c>
      <c r="F24" s="7">
        <f t="shared" si="13"/>
        <v>0</v>
      </c>
      <c r="G24" s="7">
        <f t="shared" si="14"/>
        <v>0</v>
      </c>
      <c r="H24" s="7">
        <f t="shared" si="15"/>
        <v>0</v>
      </c>
      <c r="I24" s="32"/>
      <c r="J24" s="4" t="str">
        <f t="shared" si="16"/>
        <v xml:space="preserve"> </v>
      </c>
      <c r="K24" s="4">
        <f>IF(B24&lt;Podsumowanie!E$7,0,K23+1)</f>
        <v>0</v>
      </c>
      <c r="L24" s="100">
        <f t="shared" si="2"/>
        <v>0.002933</v>
      </c>
      <c r="M24" s="38">
        <f>L24+Podsumowanie!E$6</f>
        <v>0.014933</v>
      </c>
      <c r="N24" s="101">
        <f>MAX(Podsumowanie!E$4+SUM(AA$5:AA23)-SUM(X$5:X24)+SUM(W$5:W24),0)</f>
        <v>181357.6981355522</v>
      </c>
      <c r="O24" s="102">
        <f>MAX(Podsumowanie!E$2+SUM(V$5:V23)-SUM(S$5:S24)+SUM(R$5:R24),0)</f>
        <v>400000</v>
      </c>
      <c r="P24" s="39">
        <f t="shared" si="17"/>
        <v>360</v>
      </c>
      <c r="Q24" s="40" t="str">
        <f>IF(AND(K24&gt;0,K24&lt;=Podsumowanie!E$9),"tak","nie")</f>
        <v>nie</v>
      </c>
      <c r="R24" s="41"/>
      <c r="S24" s="42"/>
      <c r="T24" s="88">
        <f t="shared" si="18"/>
        <v>0</v>
      </c>
      <c r="U24" s="89">
        <f>IF(Q24="tak",T24,IF(P24-SUM(AB$5:AB24)+1&gt;0,IF(Podsumowanie!E$7&lt;B24,IF(SUM(AB$5:AB24)-Podsumowanie!E$9+1&gt;0,PMT(M24/12,P24+1-SUM(AB$5:AB24),O24),T24),0),0))</f>
        <v>0</v>
      </c>
      <c r="V24" s="89">
        <f t="shared" si="19"/>
        <v>0</v>
      </c>
      <c r="W24" s="90" t="str">
        <f>IF(R24&gt;0,R24/(C24*(1-Podsumowanie!E$11))," ")</f>
        <v xml:space="preserve"> </v>
      </c>
      <c r="X24" s="90" t="str">
        <f t="shared" si="20"/>
        <v xml:space="preserve"> </v>
      </c>
      <c r="Y24" s="91">
        <f t="shared" si="21"/>
        <v>0</v>
      </c>
      <c r="Z24" s="90">
        <f>IF(P24-SUM(AB$5:AB24)+1&gt;0,IF(Podsumowanie!E$7&lt;B24,IF(SUM(AB$5:AB24)-Podsumowanie!E$9+1&gt;0,PMT(M24/12,P24+1-SUM(AB$5:AB24),N24),Y24),0),0)</f>
        <v>0</v>
      </c>
      <c r="AA24" s="90">
        <f t="shared" si="22"/>
        <v>0</v>
      </c>
      <c r="AB24" s="8" t="str">
        <f>IF(AND(Podsumowanie!E$7&lt;B24,SUM(AB$5:AB23)&lt;P23),1," ")</f>
        <v xml:space="preserve"> </v>
      </c>
      <c r="AD24" s="10">
        <f>Podsumowanie!E$4-SUM(AF$5:AF23)+SUM(W24:W$42)-SUM(X24:X$42)</f>
        <v>181357.6981355522</v>
      </c>
      <c r="AE24" s="10">
        <f t="shared" si="23"/>
        <v>0</v>
      </c>
      <c r="AF24" s="10">
        <f t="shared" si="24"/>
        <v>0</v>
      </c>
      <c r="AG24" s="10">
        <f t="shared" si="25"/>
        <v>0</v>
      </c>
      <c r="AH24" s="10">
        <f t="shared" si="26"/>
        <v>0</v>
      </c>
      <c r="AI24" s="10">
        <f>Podsumowanie!E$2-SUM(AK$5:AK23)+SUM(R24:R$42)-SUM(S24:S$42)</f>
        <v>400000</v>
      </c>
      <c r="AJ24" s="10">
        <f t="shared" si="27"/>
        <v>0</v>
      </c>
      <c r="AK24" s="10">
        <f t="shared" si="28"/>
        <v>0</v>
      </c>
      <c r="AL24" s="10">
        <f t="shared" si="29"/>
        <v>0</v>
      </c>
      <c r="AM24" s="10">
        <f t="shared" si="30"/>
        <v>0</v>
      </c>
      <c r="AO24" s="43">
        <f t="shared" si="31"/>
        <v>37834</v>
      </c>
      <c r="AP24" s="11">
        <f>AP$5+SUM(AS$5:AS23)-SUM(X$5:X24)+SUM(W$5:W24)</f>
        <v>175916.96719148563</v>
      </c>
      <c r="AQ24" s="10">
        <f t="shared" si="32"/>
        <v>0</v>
      </c>
      <c r="AR24" s="10">
        <f>IF(AB24=1,IF(Q24="tak",AQ24,PMT(M24/12,P24+1-SUM(AB$5:AB24),AP24)),0)</f>
        <v>0</v>
      </c>
      <c r="AS24" s="10">
        <f t="shared" si="33"/>
        <v>0</v>
      </c>
      <c r="AT24" s="10">
        <f t="shared" si="34"/>
        <v>0</v>
      </c>
      <c r="AV24" s="11">
        <f>AV$5+SUM(AX$5:AX23)+SUM(W$5:W23)-SUM(X$5:X23)</f>
        <v>175916.96719148563</v>
      </c>
      <c r="AW24" s="11">
        <f t="shared" si="35"/>
        <v>0</v>
      </c>
      <c r="AX24" s="11">
        <f t="shared" si="36"/>
        <v>0</v>
      </c>
      <c r="AY24" s="11">
        <f t="shared" si="37"/>
        <v>0</v>
      </c>
      <c r="AZ24" s="11">
        <f t="shared" si="38"/>
        <v>0</v>
      </c>
      <c r="BB24" s="191">
        <f t="shared" si="4"/>
        <v>0.0523</v>
      </c>
      <c r="BC24" s="44">
        <f>BB24+Podsumowanie!$E$6</f>
        <v>0.0643</v>
      </c>
      <c r="BD24" s="11">
        <f>BD$5+SUM(BE$5:BE23)+SUM(R$5:R23)-SUM(S$5:S23)</f>
        <v>400000</v>
      </c>
      <c r="BE24" s="10">
        <f t="shared" si="39"/>
        <v>0</v>
      </c>
      <c r="BF24" s="10">
        <f t="shared" si="40"/>
        <v>0</v>
      </c>
      <c r="BG24" s="10">
        <f>IF(U24&lt;0,PMT(BC24/12,Podsumowanie!E$8-SUM(AB$5:AB24)+1,BD24),0)</f>
        <v>0</v>
      </c>
      <c r="BI24" s="11">
        <f>BI$5+SUM(BK$5:BK23)+SUM(R$5:R23)-SUM(S$5:S23)</f>
        <v>400000</v>
      </c>
      <c r="BJ24" s="11">
        <f t="shared" si="5"/>
        <v>0</v>
      </c>
      <c r="BK24" s="11">
        <f t="shared" si="6"/>
        <v>0</v>
      </c>
      <c r="BL24" s="11">
        <f t="shared" si="7"/>
        <v>0</v>
      </c>
      <c r="BN24" s="44">
        <f t="shared" si="8"/>
        <v>0.0644</v>
      </c>
      <c r="BO24" s="11">
        <f>BO$5+SUM(BP$5:BP23)+SUM(R$5:R23)-SUM(S$5:S23)+SUM(BS$5:BS23)</f>
        <v>400000</v>
      </c>
      <c r="BP24" s="10">
        <f t="shared" si="46"/>
        <v>0</v>
      </c>
      <c r="BQ24" s="10">
        <f t="shared" si="47"/>
        <v>0</v>
      </c>
      <c r="BR24" s="10">
        <f>IF(U24&lt;0,PMT(BN24/12,Podsumowanie!E$8-SUM(AB$5:AB24)+1,BO24),0)</f>
        <v>0</v>
      </c>
      <c r="BS24" s="10">
        <f t="shared" si="41"/>
        <v>0</v>
      </c>
      <c r="BU24" s="11">
        <f>BU$5+SUM(BW$5:BW23)+SUM(R$5:R23)-SUM(S$5:S23)+SUM(BY$5,BY23)</f>
        <v>400000</v>
      </c>
      <c r="BV24" s="10">
        <f t="shared" si="9"/>
        <v>0</v>
      </c>
      <c r="BW24" s="10">
        <f t="shared" si="10"/>
        <v>0</v>
      </c>
      <c r="BX24" s="10">
        <f t="shared" si="48"/>
        <v>0</v>
      </c>
      <c r="BY24" s="10">
        <f t="shared" si="49"/>
        <v>0</v>
      </c>
      <c r="CA24" s="10">
        <f>CA$5+SUM(CB$5:CB23)+SUM(R$5:R23)-SUM(S$5:S23)-SUM(CC$5:CC23)</f>
        <v>400000</v>
      </c>
      <c r="CB24" s="10">
        <f t="shared" si="42"/>
        <v>0</v>
      </c>
      <c r="CC24" s="10">
        <f t="shared" si="43"/>
        <v>0</v>
      </c>
      <c r="CD24" s="10">
        <f t="shared" si="44"/>
        <v>0</v>
      </c>
      <c r="CF24" s="44">
        <f t="shared" si="11"/>
        <v>0.9526</v>
      </c>
      <c r="CG24" s="10">
        <f t="shared" si="45"/>
        <v>0</v>
      </c>
      <c r="CH24" s="4">
        <f t="shared" si="50"/>
        <v>0</v>
      </c>
    </row>
    <row r="25" spans="1:86" ht="15.75">
      <c r="A25" s="36"/>
      <c r="B25" s="113">
        <v>37865</v>
      </c>
      <c r="C25" s="77">
        <f t="shared" si="1"/>
        <v>2.8863</v>
      </c>
      <c r="D25" s="78">
        <f>C25*(1+Podsumowanie!E$11)</f>
        <v>2.972889</v>
      </c>
      <c r="E25" s="34">
        <f t="shared" si="12"/>
        <v>0</v>
      </c>
      <c r="F25" s="7">
        <f t="shared" si="13"/>
        <v>0</v>
      </c>
      <c r="G25" s="7">
        <f t="shared" si="14"/>
        <v>0</v>
      </c>
      <c r="H25" s="7">
        <f t="shared" si="15"/>
        <v>0</v>
      </c>
      <c r="I25" s="32"/>
      <c r="J25" s="4" t="str">
        <f t="shared" si="16"/>
        <v xml:space="preserve"> </v>
      </c>
      <c r="K25" s="4">
        <f>IF(B25&lt;Podsumowanie!E$7,0,K24+1)</f>
        <v>0</v>
      </c>
      <c r="L25" s="100">
        <f t="shared" si="2"/>
        <v>0.002667</v>
      </c>
      <c r="M25" s="38">
        <f>L25+Podsumowanie!E$6</f>
        <v>0.014667</v>
      </c>
      <c r="N25" s="101">
        <f>MAX(Podsumowanie!E$4+SUM(AA$5:AA24)-SUM(X$5:X25)+SUM(W$5:W25),0)</f>
        <v>181357.6981355522</v>
      </c>
      <c r="O25" s="102">
        <f>MAX(Podsumowanie!E$2+SUM(V$5:V24)-SUM(S$5:S25)+SUM(R$5:R25),0)</f>
        <v>400000</v>
      </c>
      <c r="P25" s="39">
        <f t="shared" si="17"/>
        <v>360</v>
      </c>
      <c r="Q25" s="40" t="str">
        <f>IF(AND(K25&gt;0,K25&lt;=Podsumowanie!E$9),"tak","nie")</f>
        <v>nie</v>
      </c>
      <c r="R25" s="41"/>
      <c r="S25" s="42"/>
      <c r="T25" s="88">
        <f t="shared" si="18"/>
        <v>0</v>
      </c>
      <c r="U25" s="89">
        <f>IF(Q25="tak",T25,IF(P25-SUM(AB$5:AB25)+1&gt;0,IF(Podsumowanie!E$7&lt;B25,IF(SUM(AB$5:AB25)-Podsumowanie!E$9+1&gt;0,PMT(M25/12,P25+1-SUM(AB$5:AB25),O25),T25),0),0))</f>
        <v>0</v>
      </c>
      <c r="V25" s="89">
        <f t="shared" si="19"/>
        <v>0</v>
      </c>
      <c r="W25" s="90" t="str">
        <f>IF(R25&gt;0,R25/(C25*(1-Podsumowanie!E$11))," ")</f>
        <v xml:space="preserve"> </v>
      </c>
      <c r="X25" s="90" t="str">
        <f t="shared" si="20"/>
        <v xml:space="preserve"> </v>
      </c>
      <c r="Y25" s="91">
        <f t="shared" si="21"/>
        <v>0</v>
      </c>
      <c r="Z25" s="90">
        <f>IF(P25-SUM(AB$5:AB25)+1&gt;0,IF(Podsumowanie!E$7&lt;B25,IF(SUM(AB$5:AB25)-Podsumowanie!E$9+1&gt;0,PMT(M25/12,P25+1-SUM(AB$5:AB25),N25),Y25),0),0)</f>
        <v>0</v>
      </c>
      <c r="AA25" s="90">
        <f t="shared" si="22"/>
        <v>0</v>
      </c>
      <c r="AB25" s="8" t="str">
        <f>IF(AND(Podsumowanie!E$7&lt;B25,SUM(AB$5:AB24)&lt;P24),1," ")</f>
        <v xml:space="preserve"> </v>
      </c>
      <c r="AD25" s="10">
        <f>Podsumowanie!E$4-SUM(AF$5:AF24)+SUM(W25:W$42)-SUM(X25:X$42)</f>
        <v>181357.6981355522</v>
      </c>
      <c r="AE25" s="10">
        <f t="shared" si="23"/>
        <v>0</v>
      </c>
      <c r="AF25" s="10">
        <f t="shared" si="24"/>
        <v>0</v>
      </c>
      <c r="AG25" s="10">
        <f t="shared" si="25"/>
        <v>0</v>
      </c>
      <c r="AH25" s="10">
        <f t="shared" si="26"/>
        <v>0</v>
      </c>
      <c r="AI25" s="10">
        <f>Podsumowanie!E$2-SUM(AK$5:AK24)+SUM(R25:R$42)-SUM(S25:S$42)</f>
        <v>400000</v>
      </c>
      <c r="AJ25" s="10">
        <f t="shared" si="27"/>
        <v>0</v>
      </c>
      <c r="AK25" s="10">
        <f t="shared" si="28"/>
        <v>0</v>
      </c>
      <c r="AL25" s="10">
        <f t="shared" si="29"/>
        <v>0</v>
      </c>
      <c r="AM25" s="10">
        <f t="shared" si="30"/>
        <v>0</v>
      </c>
      <c r="AO25" s="43">
        <f t="shared" si="31"/>
        <v>37865</v>
      </c>
      <c r="AP25" s="11">
        <f>AP$5+SUM(AS$5:AS24)-SUM(X$5:X25)+SUM(W$5:W25)</f>
        <v>175916.96719148563</v>
      </c>
      <c r="AQ25" s="10">
        <f t="shared" si="32"/>
        <v>0</v>
      </c>
      <c r="AR25" s="10">
        <f>IF(AB25=1,IF(Q25="tak",AQ25,PMT(M25/12,P25+1-SUM(AB$5:AB25),AP25)),0)</f>
        <v>0</v>
      </c>
      <c r="AS25" s="10">
        <f t="shared" si="33"/>
        <v>0</v>
      </c>
      <c r="AT25" s="10">
        <f t="shared" si="34"/>
        <v>0</v>
      </c>
      <c r="AV25" s="11">
        <f>AV$5+SUM(AX$5:AX24)+SUM(W$5:W24)-SUM(X$5:X24)</f>
        <v>175916.96719148563</v>
      </c>
      <c r="AW25" s="11">
        <f t="shared" si="35"/>
        <v>0</v>
      </c>
      <c r="AX25" s="11">
        <f t="shared" si="36"/>
        <v>0</v>
      </c>
      <c r="AY25" s="11">
        <f t="shared" si="37"/>
        <v>0</v>
      </c>
      <c r="AZ25" s="11">
        <f t="shared" si="38"/>
        <v>0</v>
      </c>
      <c r="BB25" s="191">
        <f t="shared" si="4"/>
        <v>0.0515</v>
      </c>
      <c r="BC25" s="44">
        <f>BB25+Podsumowanie!$E$6</f>
        <v>0.0635</v>
      </c>
      <c r="BD25" s="11">
        <f>BD$5+SUM(BE$5:BE24)+SUM(R$5:R24)-SUM(S$5:S24)</f>
        <v>400000</v>
      </c>
      <c r="BE25" s="10">
        <f t="shared" si="39"/>
        <v>0</v>
      </c>
      <c r="BF25" s="10">
        <f t="shared" si="40"/>
        <v>0</v>
      </c>
      <c r="BG25" s="10">
        <f>IF(U25&lt;0,PMT(BC25/12,Podsumowanie!E$8-SUM(AB$5:AB25)+1,BD25),0)</f>
        <v>0</v>
      </c>
      <c r="BI25" s="11">
        <f>BI$5+SUM(BK$5:BK24)+SUM(R$5:R24)-SUM(S$5:S24)</f>
        <v>400000</v>
      </c>
      <c r="BJ25" s="11">
        <f t="shared" si="5"/>
        <v>0</v>
      </c>
      <c r="BK25" s="11">
        <f t="shared" si="6"/>
        <v>0</v>
      </c>
      <c r="BL25" s="11">
        <f t="shared" si="7"/>
        <v>0</v>
      </c>
      <c r="BN25" s="44">
        <f t="shared" si="8"/>
        <v>0.06359999999999999</v>
      </c>
      <c r="BO25" s="11">
        <f>BO$5+SUM(BP$5:BP24)+SUM(R$5:R24)-SUM(S$5:S24)+SUM(BS$5:BS24)</f>
        <v>400000</v>
      </c>
      <c r="BP25" s="10">
        <f t="shared" si="46"/>
        <v>0</v>
      </c>
      <c r="BQ25" s="10">
        <f t="shared" si="47"/>
        <v>0</v>
      </c>
      <c r="BR25" s="10">
        <f>IF(U25&lt;0,PMT(BN25/12,Podsumowanie!E$8-SUM(AB$5:AB25)+1,BO25),0)</f>
        <v>0</v>
      </c>
      <c r="BS25" s="10">
        <f t="shared" si="41"/>
        <v>0</v>
      </c>
      <c r="BU25" s="11">
        <f>BU$5+SUM(BW$5:BW24)+SUM(R$5:R24)-SUM(S$5:S24)+SUM(BY$5,BY24)</f>
        <v>400000</v>
      </c>
      <c r="BV25" s="10">
        <f t="shared" si="9"/>
        <v>0</v>
      </c>
      <c r="BW25" s="10">
        <f t="shared" si="10"/>
        <v>0</v>
      </c>
      <c r="BX25" s="10">
        <f t="shared" si="48"/>
        <v>0</v>
      </c>
      <c r="BY25" s="10">
        <f t="shared" si="49"/>
        <v>0</v>
      </c>
      <c r="CA25" s="10">
        <f>CA$5+SUM(CB$5:CB24)+SUM(R$5:R24)-SUM(S$5:S24)-SUM(CC$5:CC24)</f>
        <v>400000</v>
      </c>
      <c r="CB25" s="10">
        <f t="shared" si="42"/>
        <v>0</v>
      </c>
      <c r="CC25" s="10">
        <f t="shared" si="43"/>
        <v>0</v>
      </c>
      <c r="CD25" s="10">
        <f t="shared" si="44"/>
        <v>0</v>
      </c>
      <c r="CF25" s="44">
        <f t="shared" si="11"/>
        <v>0.9428</v>
      </c>
      <c r="CG25" s="10">
        <f t="shared" si="45"/>
        <v>0</v>
      </c>
      <c r="CH25" s="4">
        <f t="shared" si="50"/>
        <v>0</v>
      </c>
    </row>
    <row r="26" spans="1:86" ht="15.75">
      <c r="A26" s="36"/>
      <c r="B26" s="113">
        <v>37895</v>
      </c>
      <c r="C26" s="77">
        <f t="shared" si="1"/>
        <v>2.9651</v>
      </c>
      <c r="D26" s="78">
        <f>C26*(1+Podsumowanie!E$11)</f>
        <v>3.054053</v>
      </c>
      <c r="E26" s="34">
        <f t="shared" si="12"/>
        <v>0</v>
      </c>
      <c r="F26" s="7">
        <f t="shared" si="13"/>
        <v>0</v>
      </c>
      <c r="G26" s="7">
        <f t="shared" si="14"/>
        <v>0</v>
      </c>
      <c r="H26" s="7">
        <f t="shared" si="15"/>
        <v>0</v>
      </c>
      <c r="I26" s="32"/>
      <c r="J26" s="4" t="str">
        <f t="shared" si="16"/>
        <v xml:space="preserve"> </v>
      </c>
      <c r="K26" s="4">
        <f>IF(B26&lt;Podsumowanie!E$7,0,K25+1)</f>
        <v>0</v>
      </c>
      <c r="L26" s="100">
        <f t="shared" si="2"/>
        <v>0.002433</v>
      </c>
      <c r="M26" s="38">
        <f>L26+Podsumowanie!E$6</f>
        <v>0.014433</v>
      </c>
      <c r="N26" s="101">
        <f>MAX(Podsumowanie!E$4+SUM(AA$5:AA25)-SUM(X$5:X26)+SUM(W$5:W26),0)</f>
        <v>181357.6981355522</v>
      </c>
      <c r="O26" s="102">
        <f>MAX(Podsumowanie!E$2+SUM(V$5:V25)-SUM(S$5:S26)+SUM(R$5:R26),0)</f>
        <v>400000</v>
      </c>
      <c r="P26" s="39">
        <f t="shared" si="17"/>
        <v>360</v>
      </c>
      <c r="Q26" s="40" t="str">
        <f>IF(AND(K26&gt;0,K26&lt;=Podsumowanie!E$9),"tak","nie")</f>
        <v>nie</v>
      </c>
      <c r="R26" s="41"/>
      <c r="S26" s="42"/>
      <c r="T26" s="88">
        <f t="shared" si="18"/>
        <v>0</v>
      </c>
      <c r="U26" s="89">
        <f>IF(Q26="tak",T26,IF(P26-SUM(AB$5:AB26)+1&gt;0,IF(Podsumowanie!E$7&lt;B26,IF(SUM(AB$5:AB26)-Podsumowanie!E$9+1&gt;0,PMT(M26/12,P26+1-SUM(AB$5:AB26),O26),T26),0),0))</f>
        <v>0</v>
      </c>
      <c r="V26" s="89">
        <f t="shared" si="19"/>
        <v>0</v>
      </c>
      <c r="W26" s="90" t="str">
        <f>IF(R26&gt;0,R26/(C26*(1-Podsumowanie!E$11))," ")</f>
        <v xml:space="preserve"> </v>
      </c>
      <c r="X26" s="90" t="str">
        <f t="shared" si="20"/>
        <v xml:space="preserve"> </v>
      </c>
      <c r="Y26" s="91">
        <f t="shared" si="21"/>
        <v>0</v>
      </c>
      <c r="Z26" s="90">
        <f>IF(P26-SUM(AB$5:AB26)+1&gt;0,IF(Podsumowanie!E$7&lt;B26,IF(SUM(AB$5:AB26)-Podsumowanie!E$9+1&gt;0,PMT(M26/12,P26+1-SUM(AB$5:AB26),N26),Y26),0),0)</f>
        <v>0</v>
      </c>
      <c r="AA26" s="90">
        <f t="shared" si="22"/>
        <v>0</v>
      </c>
      <c r="AB26" s="8" t="str">
        <f>IF(AND(Podsumowanie!E$7&lt;B26,SUM(AB$5:AB25)&lt;P25),1," ")</f>
        <v xml:space="preserve"> </v>
      </c>
      <c r="AD26" s="10">
        <f>Podsumowanie!E$4-SUM(AF$5:AF25)+SUM(W26:W$42)-SUM(X26:X$42)</f>
        <v>181357.6981355522</v>
      </c>
      <c r="AE26" s="10">
        <f t="shared" si="23"/>
        <v>0</v>
      </c>
      <c r="AF26" s="10">
        <f t="shared" si="24"/>
        <v>0</v>
      </c>
      <c r="AG26" s="10">
        <f t="shared" si="25"/>
        <v>0</v>
      </c>
      <c r="AH26" s="10">
        <f t="shared" si="26"/>
        <v>0</v>
      </c>
      <c r="AI26" s="10">
        <f>Podsumowanie!E$2-SUM(AK$5:AK25)+SUM(R26:R$42)-SUM(S26:S$42)</f>
        <v>400000</v>
      </c>
      <c r="AJ26" s="10">
        <f t="shared" si="27"/>
        <v>0</v>
      </c>
      <c r="AK26" s="10">
        <f t="shared" si="28"/>
        <v>0</v>
      </c>
      <c r="AL26" s="10">
        <f t="shared" si="29"/>
        <v>0</v>
      </c>
      <c r="AM26" s="10">
        <f t="shared" si="30"/>
        <v>0</v>
      </c>
      <c r="AO26" s="43">
        <f t="shared" si="31"/>
        <v>37895</v>
      </c>
      <c r="AP26" s="11">
        <f>AP$5+SUM(AS$5:AS25)-SUM(X$5:X26)+SUM(W$5:W26)</f>
        <v>175916.96719148563</v>
      </c>
      <c r="AQ26" s="10">
        <f t="shared" si="32"/>
        <v>0</v>
      </c>
      <c r="AR26" s="10">
        <f>IF(AB26=1,IF(Q26="tak",AQ26,PMT(M26/12,P26+1-SUM(AB$5:AB26),AP26)),0)</f>
        <v>0</v>
      </c>
      <c r="AS26" s="10">
        <f t="shared" si="33"/>
        <v>0</v>
      </c>
      <c r="AT26" s="10">
        <f t="shared" si="34"/>
        <v>0</v>
      </c>
      <c r="AV26" s="11">
        <f>AV$5+SUM(AX$5:AX25)+SUM(W$5:W25)-SUM(X$5:X25)</f>
        <v>175916.96719148563</v>
      </c>
      <c r="AW26" s="11">
        <f t="shared" si="35"/>
        <v>0</v>
      </c>
      <c r="AX26" s="11">
        <f t="shared" si="36"/>
        <v>0</v>
      </c>
      <c r="AY26" s="11">
        <f t="shared" si="37"/>
        <v>0</v>
      </c>
      <c r="AZ26" s="11">
        <f t="shared" si="38"/>
        <v>0</v>
      </c>
      <c r="BB26" s="191">
        <f t="shared" si="4"/>
        <v>0.0527</v>
      </c>
      <c r="BC26" s="44">
        <f>BB26+Podsumowanie!$E$6</f>
        <v>0.0647</v>
      </c>
      <c r="BD26" s="11">
        <f>BD$5+SUM(BE$5:BE25)+SUM(R$5:R25)-SUM(S$5:S25)</f>
        <v>400000</v>
      </c>
      <c r="BE26" s="10">
        <f t="shared" si="39"/>
        <v>0</v>
      </c>
      <c r="BF26" s="10">
        <f t="shared" si="40"/>
        <v>0</v>
      </c>
      <c r="BG26" s="10">
        <f>IF(U26&lt;0,PMT(BC26/12,Podsumowanie!E$8-SUM(AB$5:AB26)+1,BD26),0)</f>
        <v>0</v>
      </c>
      <c r="BI26" s="11">
        <f>BI$5+SUM(BK$5:BK25)+SUM(R$5:R25)-SUM(S$5:S25)</f>
        <v>400000</v>
      </c>
      <c r="BJ26" s="11">
        <f t="shared" si="5"/>
        <v>0</v>
      </c>
      <c r="BK26" s="11">
        <f t="shared" si="6"/>
        <v>0</v>
      </c>
      <c r="BL26" s="11">
        <f t="shared" si="7"/>
        <v>0</v>
      </c>
      <c r="BN26" s="44">
        <f t="shared" si="8"/>
        <v>0.0648</v>
      </c>
      <c r="BO26" s="11">
        <f>BO$5+SUM(BP$5:BP25)+SUM(R$5:R25)-SUM(S$5:S25)+SUM(BS$5:BS25)</f>
        <v>400000</v>
      </c>
      <c r="BP26" s="10">
        <f t="shared" si="46"/>
        <v>0</v>
      </c>
      <c r="BQ26" s="10">
        <f t="shared" si="47"/>
        <v>0</v>
      </c>
      <c r="BR26" s="10">
        <f>IF(U26&lt;0,PMT(BN26/12,Podsumowanie!E$8-SUM(AB$5:AB26)+1,BO26),0)</f>
        <v>0</v>
      </c>
      <c r="BS26" s="10">
        <f t="shared" si="41"/>
        <v>0</v>
      </c>
      <c r="BU26" s="11">
        <f>BU$5+SUM(BW$5:BW25)+SUM(R$5:R25)-SUM(S$5:S25)+SUM(BY$5,BY25)</f>
        <v>400000</v>
      </c>
      <c r="BV26" s="10">
        <f t="shared" si="9"/>
        <v>0</v>
      </c>
      <c r="BW26" s="10">
        <f t="shared" si="10"/>
        <v>0</v>
      </c>
      <c r="BX26" s="10">
        <f t="shared" si="48"/>
        <v>0</v>
      </c>
      <c r="BY26" s="10">
        <f t="shared" si="49"/>
        <v>0</v>
      </c>
      <c r="CA26" s="10">
        <f>CA$5+SUM(CB$5:CB25)+SUM(R$5:R25)-SUM(S$5:S25)-SUM(CC$5:CC25)</f>
        <v>400000</v>
      </c>
      <c r="CB26" s="10">
        <f t="shared" si="42"/>
        <v>0</v>
      </c>
      <c r="CC26" s="10">
        <f t="shared" si="43"/>
        <v>0</v>
      </c>
      <c r="CD26" s="10">
        <f t="shared" si="44"/>
        <v>0</v>
      </c>
      <c r="CF26" s="44">
        <f t="shared" si="11"/>
        <v>0.9312</v>
      </c>
      <c r="CG26" s="10">
        <f t="shared" si="45"/>
        <v>0</v>
      </c>
      <c r="CH26" s="4">
        <f t="shared" si="50"/>
        <v>0</v>
      </c>
    </row>
    <row r="27" spans="1:86" ht="15.75">
      <c r="A27" s="36"/>
      <c r="B27" s="113">
        <v>37926</v>
      </c>
      <c r="C27" s="77">
        <f t="shared" si="1"/>
        <v>2.9691</v>
      </c>
      <c r="D27" s="78">
        <f>C27*(1+Podsumowanie!E$11)</f>
        <v>3.058173</v>
      </c>
      <c r="E27" s="34">
        <f t="shared" si="12"/>
        <v>0</v>
      </c>
      <c r="F27" s="7">
        <f t="shared" si="13"/>
        <v>0</v>
      </c>
      <c r="G27" s="7">
        <f t="shared" si="14"/>
        <v>0</v>
      </c>
      <c r="H27" s="7">
        <f t="shared" si="15"/>
        <v>0</v>
      </c>
      <c r="I27" s="32"/>
      <c r="J27" s="4" t="str">
        <f t="shared" si="16"/>
        <v xml:space="preserve"> </v>
      </c>
      <c r="K27" s="4">
        <f>IF(B27&lt;Podsumowanie!E$7,0,K26+1)</f>
        <v>0</v>
      </c>
      <c r="L27" s="100">
        <f t="shared" si="2"/>
        <v>0.002492</v>
      </c>
      <c r="M27" s="38">
        <f>L27+Podsumowanie!E$6</f>
        <v>0.014492</v>
      </c>
      <c r="N27" s="101">
        <f>MAX(Podsumowanie!E$4+SUM(AA$5:AA26)-SUM(X$5:X27)+SUM(W$5:W27),0)</f>
        <v>181357.6981355522</v>
      </c>
      <c r="O27" s="102">
        <f>MAX(Podsumowanie!E$2+SUM(V$5:V26)-SUM(S$5:S27)+SUM(R$5:R27),0)</f>
        <v>400000</v>
      </c>
      <c r="P27" s="39">
        <f t="shared" si="17"/>
        <v>360</v>
      </c>
      <c r="Q27" s="40" t="str">
        <f>IF(AND(K27&gt;0,K27&lt;=Podsumowanie!E$9),"tak","nie")</f>
        <v>nie</v>
      </c>
      <c r="R27" s="41"/>
      <c r="S27" s="42"/>
      <c r="T27" s="88">
        <f t="shared" si="18"/>
        <v>0</v>
      </c>
      <c r="U27" s="89">
        <f>IF(Q27="tak",T27,IF(P27-SUM(AB$5:AB27)+1&gt;0,IF(Podsumowanie!E$7&lt;B27,IF(SUM(AB$5:AB27)-Podsumowanie!E$9+1&gt;0,PMT(M27/12,P27+1-SUM(AB$5:AB27),O27),T27),0),0))</f>
        <v>0</v>
      </c>
      <c r="V27" s="89">
        <f t="shared" si="19"/>
        <v>0</v>
      </c>
      <c r="W27" s="90" t="str">
        <f>IF(R27&gt;0,R27/(C27*(1-Podsumowanie!E$11))," ")</f>
        <v xml:space="preserve"> </v>
      </c>
      <c r="X27" s="90" t="str">
        <f t="shared" si="20"/>
        <v xml:space="preserve"> </v>
      </c>
      <c r="Y27" s="91">
        <f t="shared" si="21"/>
        <v>0</v>
      </c>
      <c r="Z27" s="90">
        <f>IF(P27-SUM(AB$5:AB27)+1&gt;0,IF(Podsumowanie!E$7&lt;B27,IF(SUM(AB$5:AB27)-Podsumowanie!E$9+1&gt;0,PMT(M27/12,P27+1-SUM(AB$5:AB27),N27),Y27),0),0)</f>
        <v>0</v>
      </c>
      <c r="AA27" s="90">
        <f t="shared" si="22"/>
        <v>0</v>
      </c>
      <c r="AB27" s="8" t="str">
        <f>IF(AND(Podsumowanie!E$7&lt;B27,SUM(AB$5:AB26)&lt;P26),1," ")</f>
        <v xml:space="preserve"> </v>
      </c>
      <c r="AD27" s="10">
        <f>Podsumowanie!E$4-SUM(AF$5:AF26)+SUM(W27:W$42)-SUM(X27:X$42)</f>
        <v>181357.6981355522</v>
      </c>
      <c r="AE27" s="10">
        <f t="shared" si="23"/>
        <v>0</v>
      </c>
      <c r="AF27" s="10">
        <f t="shared" si="24"/>
        <v>0</v>
      </c>
      <c r="AG27" s="10">
        <f t="shared" si="25"/>
        <v>0</v>
      </c>
      <c r="AH27" s="10">
        <f t="shared" si="26"/>
        <v>0</v>
      </c>
      <c r="AI27" s="10">
        <f>Podsumowanie!E$2-SUM(AK$5:AK26)+SUM(R27:R$42)-SUM(S27:S$42)</f>
        <v>400000</v>
      </c>
      <c r="AJ27" s="10">
        <f t="shared" si="27"/>
        <v>0</v>
      </c>
      <c r="AK27" s="10">
        <f t="shared" si="28"/>
        <v>0</v>
      </c>
      <c r="AL27" s="10">
        <f t="shared" si="29"/>
        <v>0</v>
      </c>
      <c r="AM27" s="10">
        <f t="shared" si="30"/>
        <v>0</v>
      </c>
      <c r="AO27" s="43">
        <f t="shared" si="31"/>
        <v>37926</v>
      </c>
      <c r="AP27" s="11">
        <f>AP$5+SUM(AS$5:AS26)-SUM(X$5:X27)+SUM(W$5:W27)</f>
        <v>175916.96719148563</v>
      </c>
      <c r="AQ27" s="10">
        <f t="shared" si="32"/>
        <v>0</v>
      </c>
      <c r="AR27" s="10">
        <f>IF(AB27=1,IF(Q27="tak",AQ27,PMT(M27/12,P27+1-SUM(AB$5:AB27),AP27)),0)</f>
        <v>0</v>
      </c>
      <c r="AS27" s="10">
        <f t="shared" si="33"/>
        <v>0</v>
      </c>
      <c r="AT27" s="10">
        <f t="shared" si="34"/>
        <v>0</v>
      </c>
      <c r="AV27" s="11">
        <f>AV$5+SUM(AX$5:AX26)+SUM(W$5:W26)-SUM(X$5:X26)</f>
        <v>175916.96719148563</v>
      </c>
      <c r="AW27" s="11">
        <f t="shared" si="35"/>
        <v>0</v>
      </c>
      <c r="AX27" s="11">
        <f t="shared" si="36"/>
        <v>0</v>
      </c>
      <c r="AY27" s="11">
        <f t="shared" si="37"/>
        <v>0</v>
      </c>
      <c r="AZ27" s="11">
        <f t="shared" si="38"/>
        <v>0</v>
      </c>
      <c r="BB27" s="191">
        <f t="shared" si="4"/>
        <v>0.0583</v>
      </c>
      <c r="BC27" s="44">
        <f>BB27+Podsumowanie!$E$6</f>
        <v>0.0703</v>
      </c>
      <c r="BD27" s="11">
        <f>BD$5+SUM(BE$5:BE26)+SUM(R$5:R26)-SUM(S$5:S26)</f>
        <v>400000</v>
      </c>
      <c r="BE27" s="10">
        <f t="shared" si="39"/>
        <v>0</v>
      </c>
      <c r="BF27" s="10">
        <f t="shared" si="40"/>
        <v>0</v>
      </c>
      <c r="BG27" s="10">
        <f>IF(U27&lt;0,PMT(BC27/12,Podsumowanie!E$8-SUM(AB$5:AB27)+1,BD27),0)</f>
        <v>0</v>
      </c>
      <c r="BI27" s="11">
        <f>BI$5+SUM(BK$5:BK26)+SUM(R$5:R26)-SUM(S$5:S26)</f>
        <v>400000</v>
      </c>
      <c r="BJ27" s="11">
        <f t="shared" si="5"/>
        <v>0</v>
      </c>
      <c r="BK27" s="11">
        <f t="shared" si="6"/>
        <v>0</v>
      </c>
      <c r="BL27" s="11">
        <f t="shared" si="7"/>
        <v>0</v>
      </c>
      <c r="BN27" s="44">
        <f t="shared" si="8"/>
        <v>0.07039999999999999</v>
      </c>
      <c r="BO27" s="11">
        <f>BO$5+SUM(BP$5:BP26)+SUM(R$5:R26)-SUM(S$5:S26)+SUM(BS$5:BS26)</f>
        <v>400000</v>
      </c>
      <c r="BP27" s="10">
        <f t="shared" si="46"/>
        <v>0</v>
      </c>
      <c r="BQ27" s="10">
        <f t="shared" si="47"/>
        <v>0</v>
      </c>
      <c r="BR27" s="10">
        <f>IF(U27&lt;0,PMT(BN27/12,Podsumowanie!E$8-SUM(AB$5:AB27)+1,BO27),0)</f>
        <v>0</v>
      </c>
      <c r="BS27" s="10">
        <f t="shared" si="41"/>
        <v>0</v>
      </c>
      <c r="BU27" s="11">
        <f>BU$5+SUM(BW$5:BW26)+SUM(R$5:R26)-SUM(S$5:S26)+SUM(BY$5,BY26)</f>
        <v>400000</v>
      </c>
      <c r="BV27" s="10">
        <f t="shared" si="9"/>
        <v>0</v>
      </c>
      <c r="BW27" s="10">
        <f t="shared" si="10"/>
        <v>0</v>
      </c>
      <c r="BX27" s="10">
        <f t="shared" si="48"/>
        <v>0</v>
      </c>
      <c r="BY27" s="10">
        <f t="shared" si="49"/>
        <v>0</v>
      </c>
      <c r="CA27" s="10">
        <f>CA$5+SUM(CB$5:CB26)+SUM(R$5:R26)-SUM(S$5:S26)-SUM(CC$5:CC26)</f>
        <v>400000</v>
      </c>
      <c r="CB27" s="10">
        <f t="shared" si="42"/>
        <v>0</v>
      </c>
      <c r="CC27" s="10">
        <f t="shared" si="43"/>
        <v>0</v>
      </c>
      <c r="CD27" s="10">
        <f t="shared" si="44"/>
        <v>0</v>
      </c>
      <c r="CF27" s="44">
        <f t="shared" si="11"/>
        <v>0.9255</v>
      </c>
      <c r="CG27" s="10">
        <f t="shared" si="45"/>
        <v>0</v>
      </c>
      <c r="CH27" s="4">
        <f t="shared" si="50"/>
        <v>0</v>
      </c>
    </row>
    <row r="28" spans="1:86" ht="15.75">
      <c r="A28" s="36"/>
      <c r="B28" s="113">
        <v>37956</v>
      </c>
      <c r="C28" s="77">
        <f t="shared" si="1"/>
        <v>2.9924</v>
      </c>
      <c r="D28" s="78">
        <f>C28*(1+Podsumowanie!E$11)</f>
        <v>3.082172</v>
      </c>
      <c r="E28" s="34">
        <f t="shared" si="12"/>
        <v>0</v>
      </c>
      <c r="F28" s="7">
        <f t="shared" si="13"/>
        <v>0</v>
      </c>
      <c r="G28" s="7">
        <f t="shared" si="14"/>
        <v>0</v>
      </c>
      <c r="H28" s="7">
        <f t="shared" si="15"/>
        <v>0</v>
      </c>
      <c r="I28" s="32"/>
      <c r="J28" s="4" t="str">
        <f t="shared" si="16"/>
        <v xml:space="preserve"> </v>
      </c>
      <c r="K28" s="4">
        <f>IF(B28&lt;Podsumowanie!E$7,0,K27+1)</f>
        <v>0</v>
      </c>
      <c r="L28" s="100">
        <f t="shared" si="2"/>
        <v>0.002733</v>
      </c>
      <c r="M28" s="38">
        <f>L28+Podsumowanie!E$6</f>
        <v>0.014733</v>
      </c>
      <c r="N28" s="101">
        <f>MAX(Podsumowanie!E$4+SUM(AA$5:AA27)-SUM(X$5:X28)+SUM(W$5:W28),0)</f>
        <v>181357.6981355522</v>
      </c>
      <c r="O28" s="102">
        <f>MAX(Podsumowanie!E$2+SUM(V$5:V27)-SUM(S$5:S28)+SUM(R$5:R28),0)</f>
        <v>400000</v>
      </c>
      <c r="P28" s="39">
        <f t="shared" si="17"/>
        <v>360</v>
      </c>
      <c r="Q28" s="40" t="str">
        <f>IF(AND(K28&gt;0,K28&lt;=Podsumowanie!E$9),"tak","nie")</f>
        <v>nie</v>
      </c>
      <c r="R28" s="41"/>
      <c r="S28" s="42"/>
      <c r="T28" s="88">
        <f t="shared" si="18"/>
        <v>0</v>
      </c>
      <c r="U28" s="89">
        <f>IF(Q28="tak",T28,IF(P28-SUM(AB$5:AB28)+1&gt;0,IF(Podsumowanie!E$7&lt;B28,IF(SUM(AB$5:AB28)-Podsumowanie!E$9+1&gt;0,PMT(M28/12,P28+1-SUM(AB$5:AB28),O28),T28),0),0))</f>
        <v>0</v>
      </c>
      <c r="V28" s="89">
        <f t="shared" si="19"/>
        <v>0</v>
      </c>
      <c r="W28" s="90" t="str">
        <f>IF(R28&gt;0,R28/(C28*(1-Podsumowanie!E$11))," ")</f>
        <v xml:space="preserve"> </v>
      </c>
      <c r="X28" s="90" t="str">
        <f t="shared" si="20"/>
        <v xml:space="preserve"> </v>
      </c>
      <c r="Y28" s="91">
        <f t="shared" si="21"/>
        <v>0</v>
      </c>
      <c r="Z28" s="90">
        <f>IF(P28-SUM(AB$5:AB28)+1&gt;0,IF(Podsumowanie!E$7&lt;B28,IF(SUM(AB$5:AB28)-Podsumowanie!E$9+1&gt;0,PMT(M28/12,P28+1-SUM(AB$5:AB28),N28),Y28),0),0)</f>
        <v>0</v>
      </c>
      <c r="AA28" s="90">
        <f t="shared" si="22"/>
        <v>0</v>
      </c>
      <c r="AB28" s="8" t="str">
        <f>IF(AND(Podsumowanie!E$7&lt;B28,SUM(AB$5:AB27)&lt;P27),1," ")</f>
        <v xml:space="preserve"> </v>
      </c>
      <c r="AD28" s="10">
        <f>Podsumowanie!E$4-SUM(AF$5:AF27)+SUM(W28:W$42)-SUM(X28:X$42)</f>
        <v>181357.6981355522</v>
      </c>
      <c r="AE28" s="10">
        <f t="shared" si="23"/>
        <v>0</v>
      </c>
      <c r="AF28" s="10">
        <f t="shared" si="24"/>
        <v>0</v>
      </c>
      <c r="AG28" s="10">
        <f t="shared" si="25"/>
        <v>0</v>
      </c>
      <c r="AH28" s="10">
        <f t="shared" si="26"/>
        <v>0</v>
      </c>
      <c r="AI28" s="10">
        <f>Podsumowanie!E$2-SUM(AK$5:AK27)+SUM(R28:R$42)-SUM(S28:S$42)</f>
        <v>400000</v>
      </c>
      <c r="AJ28" s="10">
        <f t="shared" si="27"/>
        <v>0</v>
      </c>
      <c r="AK28" s="10">
        <f t="shared" si="28"/>
        <v>0</v>
      </c>
      <c r="AL28" s="10">
        <f t="shared" si="29"/>
        <v>0</v>
      </c>
      <c r="AM28" s="10">
        <f t="shared" si="30"/>
        <v>0</v>
      </c>
      <c r="AO28" s="43">
        <f t="shared" si="31"/>
        <v>37956</v>
      </c>
      <c r="AP28" s="11">
        <f>AP$5+SUM(AS$5:AS27)-SUM(X$5:X28)+SUM(W$5:W28)</f>
        <v>175916.96719148563</v>
      </c>
      <c r="AQ28" s="10">
        <f t="shared" si="32"/>
        <v>0</v>
      </c>
      <c r="AR28" s="10">
        <f>IF(AB28=1,IF(Q28="tak",AQ28,PMT(M28/12,P28+1-SUM(AB$5:AB28),AP28)),0)</f>
        <v>0</v>
      </c>
      <c r="AS28" s="10">
        <f t="shared" si="33"/>
        <v>0</v>
      </c>
      <c r="AT28" s="10">
        <f t="shared" si="34"/>
        <v>0</v>
      </c>
      <c r="AV28" s="11">
        <f>AV$5+SUM(AX$5:AX27)+SUM(W$5:W27)-SUM(X$5:X27)</f>
        <v>175916.96719148563</v>
      </c>
      <c r="AW28" s="11">
        <f t="shared" si="35"/>
        <v>0</v>
      </c>
      <c r="AX28" s="11">
        <f t="shared" si="36"/>
        <v>0</v>
      </c>
      <c r="AY28" s="11">
        <f t="shared" si="37"/>
        <v>0</v>
      </c>
      <c r="AZ28" s="11">
        <f t="shared" si="38"/>
        <v>0</v>
      </c>
      <c r="BB28" s="191">
        <f t="shared" si="4"/>
        <v>0.0586</v>
      </c>
      <c r="BC28" s="44">
        <f>BB28+Podsumowanie!$E$6</f>
        <v>0.0706</v>
      </c>
      <c r="BD28" s="11">
        <f>BD$5+SUM(BE$5:BE27)+SUM(R$5:R27)-SUM(S$5:S27)</f>
        <v>400000</v>
      </c>
      <c r="BE28" s="10">
        <f t="shared" si="39"/>
        <v>0</v>
      </c>
      <c r="BF28" s="10">
        <f t="shared" si="40"/>
        <v>0</v>
      </c>
      <c r="BG28" s="10">
        <f>IF(U28&lt;0,PMT(BC28/12,Podsumowanie!E$8-SUM(AB$5:AB28)+1,BD28),0)</f>
        <v>0</v>
      </c>
      <c r="BI28" s="11">
        <f>BI$5+SUM(BK$5:BK27)+SUM(R$5:R27)-SUM(S$5:S27)</f>
        <v>400000</v>
      </c>
      <c r="BJ28" s="11">
        <f t="shared" si="5"/>
        <v>0</v>
      </c>
      <c r="BK28" s="11">
        <f t="shared" si="6"/>
        <v>0</v>
      </c>
      <c r="BL28" s="11">
        <f t="shared" si="7"/>
        <v>0</v>
      </c>
      <c r="BN28" s="44">
        <f t="shared" si="8"/>
        <v>0.0707</v>
      </c>
      <c r="BO28" s="11">
        <f>BO$5+SUM(BP$5:BP27)+SUM(R$5:R27)-SUM(S$5:S27)+SUM(BS$5:BS27)</f>
        <v>400000</v>
      </c>
      <c r="BP28" s="10">
        <f t="shared" si="46"/>
        <v>0</v>
      </c>
      <c r="BQ28" s="10">
        <f t="shared" si="47"/>
        <v>0</v>
      </c>
      <c r="BR28" s="10">
        <f>IF(U28&lt;0,PMT(BN28/12,Podsumowanie!E$8-SUM(AB$5:AB28)+1,BO28),0)</f>
        <v>0</v>
      </c>
      <c r="BS28" s="10">
        <f t="shared" si="41"/>
        <v>0</v>
      </c>
      <c r="BU28" s="11">
        <f>BU$5+SUM(BW$5:BW27)+SUM(R$5:R27)-SUM(S$5:S27)+SUM(BY$5,BY27)</f>
        <v>400000</v>
      </c>
      <c r="BV28" s="10">
        <f t="shared" si="9"/>
        <v>0</v>
      </c>
      <c r="BW28" s="10">
        <f t="shared" si="10"/>
        <v>0</v>
      </c>
      <c r="BX28" s="10">
        <f t="shared" si="48"/>
        <v>0</v>
      </c>
      <c r="BY28" s="10">
        <f t="shared" si="49"/>
        <v>0</v>
      </c>
      <c r="CA28" s="10">
        <f>CA$5+SUM(CB$5:CB27)+SUM(R$5:R27)-SUM(S$5:S27)-SUM(CC$5:CC27)</f>
        <v>400000</v>
      </c>
      <c r="CB28" s="10">
        <f t="shared" si="42"/>
        <v>0</v>
      </c>
      <c r="CC28" s="10">
        <f t="shared" si="43"/>
        <v>0</v>
      </c>
      <c r="CD28" s="10">
        <f t="shared" si="44"/>
        <v>0</v>
      </c>
      <c r="CF28" s="44">
        <f t="shared" si="11"/>
        <v>0.9216</v>
      </c>
      <c r="CG28" s="10">
        <f t="shared" si="45"/>
        <v>0</v>
      </c>
      <c r="CH28" s="4">
        <f t="shared" si="50"/>
        <v>0</v>
      </c>
    </row>
    <row r="29" spans="1:86" ht="15.75">
      <c r="A29" s="36">
        <v>2004</v>
      </c>
      <c r="B29" s="37">
        <v>37987</v>
      </c>
      <c r="C29" s="77">
        <f t="shared" si="1"/>
        <v>3.0099</v>
      </c>
      <c r="D29" s="78">
        <f>C29*(1+Podsumowanie!E$11)</f>
        <v>3.100197</v>
      </c>
      <c r="E29" s="34">
        <f t="shared" si="12"/>
        <v>0</v>
      </c>
      <c r="F29" s="7">
        <f t="shared" si="13"/>
        <v>0</v>
      </c>
      <c r="G29" s="7">
        <f t="shared" si="14"/>
        <v>0</v>
      </c>
      <c r="H29" s="7">
        <f t="shared" si="15"/>
        <v>0</v>
      </c>
      <c r="I29" s="32"/>
      <c r="J29" s="4" t="str">
        <f t="shared" si="16"/>
        <v xml:space="preserve"> </v>
      </c>
      <c r="K29" s="4">
        <f>IF(B29&lt;Podsumowanie!E$7,0,K28+1)</f>
        <v>0</v>
      </c>
      <c r="L29" s="100">
        <f t="shared" si="2"/>
        <v>0.0026</v>
      </c>
      <c r="M29" s="38">
        <f>L29+Podsumowanie!E$6</f>
        <v>0.0146</v>
      </c>
      <c r="N29" s="101">
        <f>MAX(Podsumowanie!E$4+SUM(AA$5:AA28)-SUM(X$5:X29)+SUM(W$5:W29),0)</f>
        <v>181357.6981355522</v>
      </c>
      <c r="O29" s="102">
        <f>MAX(Podsumowanie!E$2+SUM(V$5:V28)-SUM(S$5:S29)+SUM(R$5:R29),0)</f>
        <v>400000</v>
      </c>
      <c r="P29" s="39">
        <f t="shared" si="17"/>
        <v>360</v>
      </c>
      <c r="Q29" s="40" t="str">
        <f>IF(AND(K29&gt;0,K29&lt;=Podsumowanie!E$9),"tak","nie")</f>
        <v>nie</v>
      </c>
      <c r="R29" s="41"/>
      <c r="S29" s="42"/>
      <c r="T29" s="88">
        <f t="shared" si="18"/>
        <v>0</v>
      </c>
      <c r="U29" s="89">
        <f>IF(Q29="tak",T29,IF(P29-SUM(AB$5:AB29)+1&gt;0,IF(Podsumowanie!E$7&lt;B29,IF(SUM(AB$5:AB29)-Podsumowanie!E$9+1&gt;0,PMT(M29/12,P29+1-SUM(AB$5:AB29),O29),T29),0),0))</f>
        <v>0</v>
      </c>
      <c r="V29" s="89">
        <f t="shared" si="19"/>
        <v>0</v>
      </c>
      <c r="W29" s="90" t="str">
        <f>IF(R29&gt;0,R29/(C29*(1-Podsumowanie!E$11))," ")</f>
        <v xml:space="preserve"> </v>
      </c>
      <c r="X29" s="90" t="str">
        <f t="shared" si="20"/>
        <v xml:space="preserve"> </v>
      </c>
      <c r="Y29" s="91">
        <f t="shared" si="21"/>
        <v>0</v>
      </c>
      <c r="Z29" s="90">
        <f>IF(P29-SUM(AB$5:AB29)+1&gt;0,IF(Podsumowanie!E$7&lt;B29,IF(SUM(AB$5:AB29)-Podsumowanie!E$9+1&gt;0,PMT(M29/12,P29+1-SUM(AB$5:AB29),N29),Y29),0),0)</f>
        <v>0</v>
      </c>
      <c r="AA29" s="90">
        <f t="shared" si="22"/>
        <v>0</v>
      </c>
      <c r="AB29" s="8" t="str">
        <f>IF(AND(Podsumowanie!E$7&lt;B29,SUM(AB$5:AB28)&lt;P28),1," ")</f>
        <v xml:space="preserve"> </v>
      </c>
      <c r="AD29" s="10">
        <f>Podsumowanie!E$4-SUM(AF$5:AF28)+SUM(W29:W$42)-SUM(X29:X$42)</f>
        <v>181357.6981355522</v>
      </c>
      <c r="AE29" s="10">
        <f t="shared" si="23"/>
        <v>0</v>
      </c>
      <c r="AF29" s="10">
        <f t="shared" si="24"/>
        <v>0</v>
      </c>
      <c r="AG29" s="10">
        <f t="shared" si="25"/>
        <v>0</v>
      </c>
      <c r="AH29" s="10">
        <f t="shared" si="26"/>
        <v>0</v>
      </c>
      <c r="AI29" s="10">
        <f>Podsumowanie!E$2-SUM(AK$5:AK28)+SUM(R29:R$42)-SUM(S29:S$42)</f>
        <v>400000</v>
      </c>
      <c r="AJ29" s="10">
        <f t="shared" si="27"/>
        <v>0</v>
      </c>
      <c r="AK29" s="10">
        <f t="shared" si="28"/>
        <v>0</v>
      </c>
      <c r="AL29" s="10">
        <f t="shared" si="29"/>
        <v>0</v>
      </c>
      <c r="AM29" s="10">
        <f t="shared" si="30"/>
        <v>0</v>
      </c>
      <c r="AO29" s="43">
        <f t="shared" si="31"/>
        <v>37987</v>
      </c>
      <c r="AP29" s="11">
        <f>AP$5+SUM(AS$5:AS28)-SUM(X$5:X29)+SUM(W$5:W29)</f>
        <v>175916.96719148563</v>
      </c>
      <c r="AQ29" s="10">
        <f t="shared" si="32"/>
        <v>0</v>
      </c>
      <c r="AR29" s="10">
        <f>IF(AB29=1,IF(Q29="tak",AQ29,PMT(M29/12,P29+1-SUM(AB$5:AB29),AP29)),0)</f>
        <v>0</v>
      </c>
      <c r="AS29" s="10">
        <f t="shared" si="33"/>
        <v>0</v>
      </c>
      <c r="AT29" s="10">
        <f t="shared" si="34"/>
        <v>0</v>
      </c>
      <c r="AV29" s="11">
        <f>AV$5+SUM(AX$5:AX28)+SUM(W$5:W28)-SUM(X$5:X28)</f>
        <v>175916.96719148563</v>
      </c>
      <c r="AW29" s="11">
        <f t="shared" si="35"/>
        <v>0</v>
      </c>
      <c r="AX29" s="11">
        <f t="shared" si="36"/>
        <v>0</v>
      </c>
      <c r="AY29" s="11">
        <f t="shared" si="37"/>
        <v>0</v>
      </c>
      <c r="AZ29" s="11">
        <f t="shared" si="38"/>
        <v>0</v>
      </c>
      <c r="BB29" s="191">
        <f t="shared" si="4"/>
        <v>0.0552</v>
      </c>
      <c r="BC29" s="44">
        <f>BB29+Podsumowanie!$E$6</f>
        <v>0.0672</v>
      </c>
      <c r="BD29" s="11">
        <f>BD$5+SUM(BE$5:BE28)+SUM(R$5:R28)-SUM(S$5:S28)</f>
        <v>400000</v>
      </c>
      <c r="BE29" s="10">
        <f t="shared" si="39"/>
        <v>0</v>
      </c>
      <c r="BF29" s="10">
        <f t="shared" si="40"/>
        <v>0</v>
      </c>
      <c r="BG29" s="10">
        <f>IF(U29&lt;0,PMT(BC29/12,Podsumowanie!E$8-SUM(AB$5:AB29)+1,BD29),0)</f>
        <v>0</v>
      </c>
      <c r="BI29" s="11">
        <f>BI$5+SUM(BK$5:BK28)+SUM(R$5:R28)-SUM(S$5:S28)</f>
        <v>400000</v>
      </c>
      <c r="BJ29" s="11">
        <f t="shared" si="5"/>
        <v>0</v>
      </c>
      <c r="BK29" s="11">
        <f t="shared" si="6"/>
        <v>0</v>
      </c>
      <c r="BL29" s="11">
        <f t="shared" si="7"/>
        <v>0</v>
      </c>
      <c r="BN29" s="44">
        <f t="shared" si="8"/>
        <v>0.0673</v>
      </c>
      <c r="BO29" s="11">
        <f>BO$5+SUM(BP$5:BP28)+SUM(R$5:R28)-SUM(S$5:S28)+SUM(BS$5:BS28)</f>
        <v>400000</v>
      </c>
      <c r="BP29" s="10">
        <f t="shared" si="46"/>
        <v>0</v>
      </c>
      <c r="BQ29" s="10">
        <f t="shared" si="47"/>
        <v>0</v>
      </c>
      <c r="BR29" s="10">
        <f>IF(U29&lt;0,PMT(BN29/12,Podsumowanie!E$8-SUM(AB$5:AB29)+1,BO29),0)</f>
        <v>0</v>
      </c>
      <c r="BS29" s="10">
        <f t="shared" si="41"/>
        <v>0</v>
      </c>
      <c r="BU29" s="11">
        <f>BU$5+SUM(BW$5:BW28)+SUM(R$5:R28)-SUM(S$5:S28)+SUM(BY$5,BY28)</f>
        <v>400000</v>
      </c>
      <c r="BV29" s="10">
        <f t="shared" si="9"/>
        <v>0</v>
      </c>
      <c r="BW29" s="10">
        <f t="shared" si="10"/>
        <v>0</v>
      </c>
      <c r="BX29" s="10">
        <f t="shared" si="48"/>
        <v>0</v>
      </c>
      <c r="BY29" s="10">
        <f t="shared" si="49"/>
        <v>0</v>
      </c>
      <c r="CA29" s="10">
        <f>CA$5+SUM(CB$5:CB28)+SUM(R$5:R28)-SUM(S$5:S28)-SUM(CC$5:CC28)</f>
        <v>400000</v>
      </c>
      <c r="CB29" s="10">
        <f t="shared" si="42"/>
        <v>0</v>
      </c>
      <c r="CC29" s="10">
        <f t="shared" si="43"/>
        <v>0</v>
      </c>
      <c r="CD29" s="10">
        <f t="shared" si="44"/>
        <v>0</v>
      </c>
      <c r="CF29" s="44">
        <f t="shared" si="11"/>
        <v>0.914</v>
      </c>
      <c r="CG29" s="10">
        <f t="shared" si="45"/>
        <v>0</v>
      </c>
      <c r="CH29" s="4">
        <f t="shared" si="50"/>
        <v>0</v>
      </c>
    </row>
    <row r="30" spans="1:86" ht="15.75">
      <c r="A30" s="36"/>
      <c r="B30" s="37">
        <v>38018</v>
      </c>
      <c r="C30" s="77">
        <f t="shared" si="1"/>
        <v>3.0846</v>
      </c>
      <c r="D30" s="78">
        <f>C30*(1+Podsumowanie!E$11)</f>
        <v>3.1771380000000002</v>
      </c>
      <c r="E30" s="34">
        <f t="shared" si="12"/>
        <v>0</v>
      </c>
      <c r="F30" s="7">
        <f t="shared" si="13"/>
        <v>0</v>
      </c>
      <c r="G30" s="7">
        <f t="shared" si="14"/>
        <v>0</v>
      </c>
      <c r="H30" s="7">
        <f t="shared" si="15"/>
        <v>0</v>
      </c>
      <c r="I30" s="32"/>
      <c r="J30" s="4" t="str">
        <f t="shared" si="16"/>
        <v xml:space="preserve"> </v>
      </c>
      <c r="K30" s="4">
        <f>IF(B30&lt;Podsumowanie!E$7,0,K29+1)</f>
        <v>0</v>
      </c>
      <c r="L30" s="100">
        <f t="shared" si="2"/>
        <v>0.00245</v>
      </c>
      <c r="M30" s="38">
        <f>L30+Podsumowanie!E$6</f>
        <v>0.014450000000000001</v>
      </c>
      <c r="N30" s="101">
        <f>MAX(Podsumowanie!E$4+SUM(AA$5:AA29)-SUM(X$5:X30)+SUM(W$5:W30),0)</f>
        <v>181357.6981355522</v>
      </c>
      <c r="O30" s="102">
        <f>MAX(Podsumowanie!E$2+SUM(V$5:V29)-SUM(S$5:S30)+SUM(R$5:R30),0)</f>
        <v>400000</v>
      </c>
      <c r="P30" s="39">
        <f t="shared" si="17"/>
        <v>360</v>
      </c>
      <c r="Q30" s="40" t="str">
        <f>IF(AND(K30&gt;0,K30&lt;=Podsumowanie!E$9),"tak","nie")</f>
        <v>nie</v>
      </c>
      <c r="R30" s="41"/>
      <c r="S30" s="42"/>
      <c r="T30" s="88">
        <f t="shared" si="18"/>
        <v>0</v>
      </c>
      <c r="U30" s="89">
        <f>IF(Q30="tak",T30,IF(P30-SUM(AB$5:AB30)+1&gt;0,IF(Podsumowanie!E$7&lt;B30,IF(SUM(AB$5:AB30)-Podsumowanie!E$9+1&gt;0,PMT(M30/12,P30+1-SUM(AB$5:AB30),O30),T30),0),0))</f>
        <v>0</v>
      </c>
      <c r="V30" s="89">
        <f t="shared" si="19"/>
        <v>0</v>
      </c>
      <c r="W30" s="90" t="str">
        <f>IF(R30&gt;0,R30/(C30*(1-Podsumowanie!E$11))," ")</f>
        <v xml:space="preserve"> </v>
      </c>
      <c r="X30" s="90" t="str">
        <f t="shared" si="20"/>
        <v xml:space="preserve"> </v>
      </c>
      <c r="Y30" s="91">
        <f t="shared" si="21"/>
        <v>0</v>
      </c>
      <c r="Z30" s="90">
        <f>IF(P30-SUM(AB$5:AB30)+1&gt;0,IF(Podsumowanie!E$7&lt;B30,IF(SUM(AB$5:AB30)-Podsumowanie!E$9+1&gt;0,PMT(M30/12,P30+1-SUM(AB$5:AB30),N30),Y30),0),0)</f>
        <v>0</v>
      </c>
      <c r="AA30" s="90">
        <f t="shared" si="22"/>
        <v>0</v>
      </c>
      <c r="AB30" s="8" t="str">
        <f>IF(AND(Podsumowanie!E$7&lt;B30,SUM(AB$5:AB29)&lt;P29),1," ")</f>
        <v xml:space="preserve"> </v>
      </c>
      <c r="AD30" s="10">
        <f>Podsumowanie!E$4-SUM(AF$5:AF29)+SUM(W30:W$42)-SUM(X30:X$42)</f>
        <v>181357.6981355522</v>
      </c>
      <c r="AE30" s="10">
        <f t="shared" si="23"/>
        <v>0</v>
      </c>
      <c r="AF30" s="10">
        <f t="shared" si="24"/>
        <v>0</v>
      </c>
      <c r="AG30" s="10">
        <f t="shared" si="25"/>
        <v>0</v>
      </c>
      <c r="AH30" s="10">
        <f t="shared" si="26"/>
        <v>0</v>
      </c>
      <c r="AI30" s="10">
        <f>Podsumowanie!E$2-SUM(AK$5:AK29)+SUM(R30:R$42)-SUM(S30:S$42)</f>
        <v>400000</v>
      </c>
      <c r="AJ30" s="10">
        <f t="shared" si="27"/>
        <v>0</v>
      </c>
      <c r="AK30" s="10">
        <f t="shared" si="28"/>
        <v>0</v>
      </c>
      <c r="AL30" s="10">
        <f t="shared" si="29"/>
        <v>0</v>
      </c>
      <c r="AM30" s="10">
        <f t="shared" si="30"/>
        <v>0</v>
      </c>
      <c r="AO30" s="43">
        <f t="shared" si="31"/>
        <v>38018</v>
      </c>
      <c r="AP30" s="11">
        <f>AP$5+SUM(AS$5:AS29)-SUM(X$5:X30)+SUM(W$5:W30)</f>
        <v>175916.96719148563</v>
      </c>
      <c r="AQ30" s="10">
        <f t="shared" si="32"/>
        <v>0</v>
      </c>
      <c r="AR30" s="10">
        <f>IF(AB30=1,IF(Q30="tak",AQ30,PMT(M30/12,P30+1-SUM(AB$5:AB30),AP30)),0)</f>
        <v>0</v>
      </c>
      <c r="AS30" s="10">
        <f t="shared" si="33"/>
        <v>0</v>
      </c>
      <c r="AT30" s="10">
        <f t="shared" si="34"/>
        <v>0</v>
      </c>
      <c r="AV30" s="11">
        <f>AV$5+SUM(AX$5:AX29)+SUM(W$5:W29)-SUM(X$5:X29)</f>
        <v>175916.96719148563</v>
      </c>
      <c r="AW30" s="11">
        <f t="shared" si="35"/>
        <v>0</v>
      </c>
      <c r="AX30" s="11">
        <f t="shared" si="36"/>
        <v>0</v>
      </c>
      <c r="AY30" s="11">
        <f t="shared" si="37"/>
        <v>0</v>
      </c>
      <c r="AZ30" s="11">
        <f t="shared" si="38"/>
        <v>0</v>
      </c>
      <c r="BB30" s="191">
        <f t="shared" si="4"/>
        <v>0.055</v>
      </c>
      <c r="BC30" s="44">
        <f>BB30+Podsumowanie!$E$6</f>
        <v>0.067</v>
      </c>
      <c r="BD30" s="11">
        <f>BD$5+SUM(BE$5:BE29)+SUM(R$5:R29)-SUM(S$5:S29)</f>
        <v>400000</v>
      </c>
      <c r="BE30" s="10">
        <f t="shared" si="39"/>
        <v>0</v>
      </c>
      <c r="BF30" s="10">
        <f t="shared" si="40"/>
        <v>0</v>
      </c>
      <c r="BG30" s="10">
        <f>IF(U30&lt;0,PMT(BC30/12,Podsumowanie!E$8-SUM(AB$5:AB30)+1,BD30),0)</f>
        <v>0</v>
      </c>
      <c r="BI30" s="11">
        <f>BI$5+SUM(BK$5:BK29)+SUM(R$5:R29)-SUM(S$5:S29)</f>
        <v>400000</v>
      </c>
      <c r="BJ30" s="11">
        <f t="shared" si="5"/>
        <v>0</v>
      </c>
      <c r="BK30" s="11">
        <f t="shared" si="6"/>
        <v>0</v>
      </c>
      <c r="BL30" s="11">
        <f t="shared" si="7"/>
        <v>0</v>
      </c>
      <c r="BN30" s="44">
        <f t="shared" si="8"/>
        <v>0.06709999999999999</v>
      </c>
      <c r="BO30" s="11">
        <f>BO$5+SUM(BP$5:BP29)+SUM(R$5:R29)-SUM(S$5:S29)+SUM(BS$5:BS29)</f>
        <v>400000</v>
      </c>
      <c r="BP30" s="10">
        <f t="shared" si="46"/>
        <v>0</v>
      </c>
      <c r="BQ30" s="10">
        <f t="shared" si="47"/>
        <v>0</v>
      </c>
      <c r="BR30" s="10">
        <f>IF(U30&lt;0,PMT(BN30/12,Podsumowanie!E$8-SUM(AB$5:AB30)+1,BO30),0)</f>
        <v>0</v>
      </c>
      <c r="BS30" s="10">
        <f t="shared" si="41"/>
        <v>0</v>
      </c>
      <c r="BU30" s="11">
        <f>BU$5+SUM(BW$5:BW29)+SUM(R$5:R29)-SUM(S$5:S29)+SUM(BY$5,BY29)</f>
        <v>400000</v>
      </c>
      <c r="BV30" s="10">
        <f t="shared" si="9"/>
        <v>0</v>
      </c>
      <c r="BW30" s="10">
        <f t="shared" si="10"/>
        <v>0</v>
      </c>
      <c r="BX30" s="10">
        <f t="shared" si="48"/>
        <v>0</v>
      </c>
      <c r="BY30" s="10">
        <f t="shared" si="49"/>
        <v>0</v>
      </c>
      <c r="CA30" s="10">
        <f>CA$5+SUM(CB$5:CB29)+SUM(R$5:R29)-SUM(S$5:S29)-SUM(CC$5:CC29)</f>
        <v>400000</v>
      </c>
      <c r="CB30" s="10">
        <f t="shared" si="42"/>
        <v>0</v>
      </c>
      <c r="CC30" s="10">
        <f t="shared" si="43"/>
        <v>0</v>
      </c>
      <c r="CD30" s="10">
        <f t="shared" si="44"/>
        <v>0</v>
      </c>
      <c r="CF30" s="44">
        <f t="shared" si="11"/>
        <v>0.9121</v>
      </c>
      <c r="CG30" s="10">
        <f t="shared" si="45"/>
        <v>0</v>
      </c>
      <c r="CH30" s="4">
        <f t="shared" si="50"/>
        <v>0</v>
      </c>
    </row>
    <row r="31" spans="1:86" ht="15.75">
      <c r="A31" s="36"/>
      <c r="B31" s="37">
        <v>38047</v>
      </c>
      <c r="C31" s="77">
        <f t="shared" si="1"/>
        <v>3.0444</v>
      </c>
      <c r="D31" s="78">
        <f>C31*(1+Podsumowanie!E$11)</f>
        <v>3.135732</v>
      </c>
      <c r="E31" s="34">
        <f t="shared" si="12"/>
        <v>0</v>
      </c>
      <c r="F31" s="7">
        <f t="shared" si="13"/>
        <v>0</v>
      </c>
      <c r="G31" s="7">
        <f t="shared" si="14"/>
        <v>0</v>
      </c>
      <c r="H31" s="7">
        <f t="shared" si="15"/>
        <v>0</v>
      </c>
      <c r="I31" s="32"/>
      <c r="J31" s="4" t="str">
        <f t="shared" si="16"/>
        <v xml:space="preserve"> </v>
      </c>
      <c r="K31" s="4">
        <f>IF(B31&lt;Podsumowanie!E$7,0,K30+1)</f>
        <v>0</v>
      </c>
      <c r="L31" s="100">
        <f t="shared" si="2"/>
        <v>0.0026</v>
      </c>
      <c r="M31" s="38">
        <f>L31+Podsumowanie!E$6</f>
        <v>0.0146</v>
      </c>
      <c r="N31" s="101">
        <f>MAX(Podsumowanie!E$4+SUM(AA$5:AA30)-SUM(X$5:X31)+SUM(W$5:W31),0)</f>
        <v>181357.6981355522</v>
      </c>
      <c r="O31" s="102">
        <f>MAX(Podsumowanie!E$2+SUM(V$5:V30)-SUM(S$5:S31)+SUM(R$5:R31),0)</f>
        <v>400000</v>
      </c>
      <c r="P31" s="39">
        <f t="shared" si="17"/>
        <v>360</v>
      </c>
      <c r="Q31" s="40" t="str">
        <f>IF(AND(K31&gt;0,K31&lt;=Podsumowanie!E$9),"tak","nie")</f>
        <v>nie</v>
      </c>
      <c r="R31" s="41"/>
      <c r="S31" s="42"/>
      <c r="T31" s="88">
        <f t="shared" si="18"/>
        <v>0</v>
      </c>
      <c r="U31" s="89">
        <f>IF(Q31="tak",T31,IF(P31-SUM(AB$5:AB31)+1&gt;0,IF(Podsumowanie!E$7&lt;B31,IF(SUM(AB$5:AB31)-Podsumowanie!E$9+1&gt;0,PMT(M31/12,P31+1-SUM(AB$5:AB31),O31),T31),0),0))</f>
        <v>0</v>
      </c>
      <c r="V31" s="89">
        <f t="shared" si="19"/>
        <v>0</v>
      </c>
      <c r="W31" s="90" t="str">
        <f>IF(R31&gt;0,R31/(C31*(1-Podsumowanie!E$11))," ")</f>
        <v xml:space="preserve"> </v>
      </c>
      <c r="X31" s="90" t="str">
        <f t="shared" si="20"/>
        <v xml:space="preserve"> </v>
      </c>
      <c r="Y31" s="91">
        <f t="shared" si="21"/>
        <v>0</v>
      </c>
      <c r="Z31" s="90">
        <f>IF(P31-SUM(AB$5:AB31)+1&gt;0,IF(Podsumowanie!E$7&lt;B31,IF(SUM(AB$5:AB31)-Podsumowanie!E$9+1&gt;0,PMT(M31/12,P31+1-SUM(AB$5:AB31),N31),Y31),0),0)</f>
        <v>0</v>
      </c>
      <c r="AA31" s="90">
        <f t="shared" si="22"/>
        <v>0</v>
      </c>
      <c r="AB31" s="8" t="str">
        <f>IF(AND(Podsumowanie!E$7&lt;B31,SUM(AB$5:AB30)&lt;P30),1," ")</f>
        <v xml:space="preserve"> </v>
      </c>
      <c r="AD31" s="10">
        <f>Podsumowanie!E$4-SUM(AF$5:AF30)+SUM(W31:W$42)-SUM(X31:X$42)</f>
        <v>181357.6981355522</v>
      </c>
      <c r="AE31" s="10">
        <f t="shared" si="23"/>
        <v>0</v>
      </c>
      <c r="AF31" s="10">
        <f t="shared" si="24"/>
        <v>0</v>
      </c>
      <c r="AG31" s="10">
        <f t="shared" si="25"/>
        <v>0</v>
      </c>
      <c r="AH31" s="10">
        <f t="shared" si="26"/>
        <v>0</v>
      </c>
      <c r="AI31" s="10">
        <f>Podsumowanie!E$2-SUM(AK$5:AK30)+SUM(R31:R$42)-SUM(S31:S$42)</f>
        <v>400000</v>
      </c>
      <c r="AJ31" s="10">
        <f t="shared" si="27"/>
        <v>0</v>
      </c>
      <c r="AK31" s="10">
        <f t="shared" si="28"/>
        <v>0</v>
      </c>
      <c r="AL31" s="10">
        <f t="shared" si="29"/>
        <v>0</v>
      </c>
      <c r="AM31" s="10">
        <f t="shared" si="30"/>
        <v>0</v>
      </c>
      <c r="AO31" s="43">
        <f t="shared" si="31"/>
        <v>38047</v>
      </c>
      <c r="AP31" s="11">
        <f>AP$5+SUM(AS$5:AS30)-SUM(X$5:X31)+SUM(W$5:W31)</f>
        <v>175916.96719148563</v>
      </c>
      <c r="AQ31" s="10">
        <f t="shared" si="32"/>
        <v>0</v>
      </c>
      <c r="AR31" s="10">
        <f>IF(AB31=1,IF(Q31="tak",AQ31,PMT(M31/12,P31+1-SUM(AB$5:AB31),AP31)),0)</f>
        <v>0</v>
      </c>
      <c r="AS31" s="10">
        <f t="shared" si="33"/>
        <v>0</v>
      </c>
      <c r="AT31" s="10">
        <f t="shared" si="34"/>
        <v>0</v>
      </c>
      <c r="AV31" s="11">
        <f>AV$5+SUM(AX$5:AX30)+SUM(W$5:W30)-SUM(X$5:X30)</f>
        <v>175916.96719148563</v>
      </c>
      <c r="AW31" s="11">
        <f t="shared" si="35"/>
        <v>0</v>
      </c>
      <c r="AX31" s="11">
        <f t="shared" si="36"/>
        <v>0</v>
      </c>
      <c r="AY31" s="11">
        <f t="shared" si="37"/>
        <v>0</v>
      </c>
      <c r="AZ31" s="11">
        <f t="shared" si="38"/>
        <v>0</v>
      </c>
      <c r="BB31" s="191">
        <f t="shared" si="4"/>
        <v>0.0552</v>
      </c>
      <c r="BC31" s="44">
        <f>BB31+Podsumowanie!$E$6</f>
        <v>0.0672</v>
      </c>
      <c r="BD31" s="11">
        <f>BD$5+SUM(BE$5:BE30)+SUM(R$5:R30)-SUM(S$5:S30)</f>
        <v>400000</v>
      </c>
      <c r="BE31" s="10">
        <f t="shared" si="39"/>
        <v>0</v>
      </c>
      <c r="BF31" s="10">
        <f t="shared" si="40"/>
        <v>0</v>
      </c>
      <c r="BG31" s="10">
        <f>IF(U31&lt;0,PMT(BC31/12,Podsumowanie!E$8-SUM(AB$5:AB31)+1,BD31),0)</f>
        <v>0</v>
      </c>
      <c r="BI31" s="11">
        <f>BI$5+SUM(BK$5:BK30)+SUM(R$5:R30)-SUM(S$5:S30)</f>
        <v>400000</v>
      </c>
      <c r="BJ31" s="11">
        <f t="shared" si="5"/>
        <v>0</v>
      </c>
      <c r="BK31" s="11">
        <f t="shared" si="6"/>
        <v>0</v>
      </c>
      <c r="BL31" s="11">
        <f t="shared" si="7"/>
        <v>0</v>
      </c>
      <c r="BN31" s="44">
        <f t="shared" si="8"/>
        <v>0.0673</v>
      </c>
      <c r="BO31" s="11">
        <f>BO$5+SUM(BP$5:BP30)+SUM(R$5:R30)-SUM(S$5:S30)+SUM(BS$5:BS30)</f>
        <v>400000</v>
      </c>
      <c r="BP31" s="10">
        <f t="shared" si="46"/>
        <v>0</v>
      </c>
      <c r="BQ31" s="10">
        <f t="shared" si="47"/>
        <v>0</v>
      </c>
      <c r="BR31" s="10">
        <f>IF(U31&lt;0,PMT(BN31/12,Podsumowanie!E$8-SUM(AB$5:AB31)+1,BO31),0)</f>
        <v>0</v>
      </c>
      <c r="BS31" s="10">
        <f t="shared" si="41"/>
        <v>0</v>
      </c>
      <c r="BU31" s="11">
        <f>BU$5+SUM(BW$5:BW30)+SUM(R$5:R30)-SUM(S$5:S30)+SUM(BY$5,BY30)</f>
        <v>400000</v>
      </c>
      <c r="BV31" s="10">
        <f t="shared" si="9"/>
        <v>0</v>
      </c>
      <c r="BW31" s="10">
        <f t="shared" si="10"/>
        <v>0</v>
      </c>
      <c r="BX31" s="10">
        <f t="shared" si="48"/>
        <v>0</v>
      </c>
      <c r="BY31" s="10">
        <f t="shared" si="49"/>
        <v>0</v>
      </c>
      <c r="CA31" s="10">
        <f>CA$5+SUM(CB$5:CB30)+SUM(R$5:R30)-SUM(S$5:S30)-SUM(CC$5:CC30)</f>
        <v>400000</v>
      </c>
      <c r="CB31" s="10">
        <f t="shared" si="42"/>
        <v>0</v>
      </c>
      <c r="CC31" s="10">
        <f t="shared" si="43"/>
        <v>0</v>
      </c>
      <c r="CD31" s="10">
        <f t="shared" si="44"/>
        <v>0</v>
      </c>
      <c r="CF31" s="44">
        <f t="shared" si="11"/>
        <v>0.9063</v>
      </c>
      <c r="CG31" s="10">
        <f t="shared" si="45"/>
        <v>0</v>
      </c>
      <c r="CH31" s="4">
        <f t="shared" si="50"/>
        <v>0</v>
      </c>
    </row>
    <row r="32" spans="1:86" ht="15.75">
      <c r="A32" s="36"/>
      <c r="B32" s="37">
        <v>38078</v>
      </c>
      <c r="C32" s="77">
        <f t="shared" si="1"/>
        <v>3.0602</v>
      </c>
      <c r="D32" s="78">
        <f>C32*(1+Podsumowanie!E$11)</f>
        <v>3.152006</v>
      </c>
      <c r="E32" s="34">
        <f t="shared" si="12"/>
        <v>0</v>
      </c>
      <c r="F32" s="7">
        <f t="shared" si="13"/>
        <v>0</v>
      </c>
      <c r="G32" s="7">
        <f t="shared" si="14"/>
        <v>0</v>
      </c>
      <c r="H32" s="7">
        <f t="shared" si="15"/>
        <v>0</v>
      </c>
      <c r="I32" s="32"/>
      <c r="J32" s="4" t="str">
        <f t="shared" si="16"/>
        <v xml:space="preserve"> </v>
      </c>
      <c r="K32" s="4">
        <f>IF(B32&lt;Podsumowanie!E$7,0,K31+1)</f>
        <v>0</v>
      </c>
      <c r="L32" s="100">
        <f t="shared" si="2"/>
        <v>0.0025</v>
      </c>
      <c r="M32" s="38">
        <f>L32+Podsumowanie!E$6</f>
        <v>0.0145</v>
      </c>
      <c r="N32" s="101">
        <f>MAX(Podsumowanie!E$4+SUM(AA$5:AA31)-SUM(X$5:X32)+SUM(W$5:W32),0)</f>
        <v>181357.6981355522</v>
      </c>
      <c r="O32" s="102">
        <f>MAX(Podsumowanie!E$2+SUM(V$5:V31)-SUM(S$5:S32)+SUM(R$5:R32),0)</f>
        <v>400000</v>
      </c>
      <c r="P32" s="39">
        <f t="shared" si="17"/>
        <v>360</v>
      </c>
      <c r="Q32" s="40" t="str">
        <f>IF(AND(K32&gt;0,K32&lt;=Podsumowanie!E$9),"tak","nie")</f>
        <v>nie</v>
      </c>
      <c r="R32" s="41"/>
      <c r="S32" s="42"/>
      <c r="T32" s="88">
        <f t="shared" si="18"/>
        <v>0</v>
      </c>
      <c r="U32" s="89">
        <f>IF(Q32="tak",T32,IF(P32-SUM(AB$5:AB32)+1&gt;0,IF(Podsumowanie!E$7&lt;B32,IF(SUM(AB$5:AB32)-Podsumowanie!E$9+1&gt;0,PMT(M32/12,P32+1-SUM(AB$5:AB32),O32),T32),0),0))</f>
        <v>0</v>
      </c>
      <c r="V32" s="89">
        <f t="shared" si="19"/>
        <v>0</v>
      </c>
      <c r="W32" s="90" t="str">
        <f>IF(R32&gt;0,R32/(C32*(1-Podsumowanie!E$11))," ")</f>
        <v xml:space="preserve"> </v>
      </c>
      <c r="X32" s="90" t="str">
        <f t="shared" si="20"/>
        <v xml:space="preserve"> </v>
      </c>
      <c r="Y32" s="91">
        <f t="shared" si="21"/>
        <v>0</v>
      </c>
      <c r="Z32" s="90">
        <f>IF(P32-SUM(AB$5:AB32)+1&gt;0,IF(Podsumowanie!E$7&lt;B32,IF(SUM(AB$5:AB32)-Podsumowanie!E$9+1&gt;0,PMT(M32/12,P32+1-SUM(AB$5:AB32),N32),Y32),0),0)</f>
        <v>0</v>
      </c>
      <c r="AA32" s="90">
        <f t="shared" si="22"/>
        <v>0</v>
      </c>
      <c r="AB32" s="8" t="str">
        <f>IF(AND(Podsumowanie!E$7&lt;B32,SUM(AB$5:AB31)&lt;P31),1," ")</f>
        <v xml:space="preserve"> </v>
      </c>
      <c r="AD32" s="10">
        <f>Podsumowanie!E$4-SUM(AF$5:AF31)+SUM(W32:W$42)-SUM(X32:X$42)</f>
        <v>181357.6981355522</v>
      </c>
      <c r="AE32" s="10">
        <f t="shared" si="23"/>
        <v>0</v>
      </c>
      <c r="AF32" s="10">
        <f t="shared" si="24"/>
        <v>0</v>
      </c>
      <c r="AG32" s="10">
        <f t="shared" si="25"/>
        <v>0</v>
      </c>
      <c r="AH32" s="10">
        <f t="shared" si="26"/>
        <v>0</v>
      </c>
      <c r="AI32" s="10">
        <f>Podsumowanie!E$2-SUM(AK$5:AK31)+SUM(R32:R$42)-SUM(S32:S$42)</f>
        <v>400000</v>
      </c>
      <c r="AJ32" s="10">
        <f t="shared" si="27"/>
        <v>0</v>
      </c>
      <c r="AK32" s="10">
        <f t="shared" si="28"/>
        <v>0</v>
      </c>
      <c r="AL32" s="10">
        <f t="shared" si="29"/>
        <v>0</v>
      </c>
      <c r="AM32" s="10">
        <f t="shared" si="30"/>
        <v>0</v>
      </c>
      <c r="AO32" s="43">
        <f t="shared" si="31"/>
        <v>38078</v>
      </c>
      <c r="AP32" s="11">
        <f>AP$5+SUM(AS$5:AS31)-SUM(X$5:X32)+SUM(W$5:W32)</f>
        <v>175916.96719148563</v>
      </c>
      <c r="AQ32" s="10">
        <f t="shared" si="32"/>
        <v>0</v>
      </c>
      <c r="AR32" s="10">
        <f>IF(AB32=1,IF(Q32="tak",AQ32,PMT(M32/12,P32+1-SUM(AB$5:AB32),AP32)),0)</f>
        <v>0</v>
      </c>
      <c r="AS32" s="10">
        <f t="shared" si="33"/>
        <v>0</v>
      </c>
      <c r="AT32" s="10">
        <f t="shared" si="34"/>
        <v>0</v>
      </c>
      <c r="AV32" s="11">
        <f>AV$5+SUM(AX$5:AX31)+SUM(W$5:W31)-SUM(X$5:X31)</f>
        <v>175916.96719148563</v>
      </c>
      <c r="AW32" s="11">
        <f t="shared" si="35"/>
        <v>0</v>
      </c>
      <c r="AX32" s="11">
        <f t="shared" si="36"/>
        <v>0</v>
      </c>
      <c r="AY32" s="11">
        <f t="shared" si="37"/>
        <v>0</v>
      </c>
      <c r="AZ32" s="11">
        <f t="shared" si="38"/>
        <v>0</v>
      </c>
      <c r="BB32" s="191">
        <f t="shared" si="4"/>
        <v>0.055</v>
      </c>
      <c r="BC32" s="44">
        <f>BB32+Podsumowanie!$E$6</f>
        <v>0.067</v>
      </c>
      <c r="BD32" s="11">
        <f>BD$5+SUM(BE$5:BE31)+SUM(R$5:R31)-SUM(S$5:S31)</f>
        <v>400000</v>
      </c>
      <c r="BE32" s="10">
        <f t="shared" si="39"/>
        <v>0</v>
      </c>
      <c r="BF32" s="10">
        <f t="shared" si="40"/>
        <v>0</v>
      </c>
      <c r="BG32" s="10">
        <f>IF(U32&lt;0,PMT(BC32/12,Podsumowanie!E$8-SUM(AB$5:AB32)+1,BD32),0)</f>
        <v>0</v>
      </c>
      <c r="BI32" s="11">
        <f>BI$5+SUM(BK$5:BK31)+SUM(R$5:R31)-SUM(S$5:S31)</f>
        <v>400000</v>
      </c>
      <c r="BJ32" s="11">
        <f t="shared" si="5"/>
        <v>0</v>
      </c>
      <c r="BK32" s="11">
        <f t="shared" si="6"/>
        <v>0</v>
      </c>
      <c r="BL32" s="11">
        <f t="shared" si="7"/>
        <v>0</v>
      </c>
      <c r="BN32" s="44">
        <f t="shared" si="8"/>
        <v>0.06709999999999999</v>
      </c>
      <c r="BO32" s="11">
        <f>BO$5+SUM(BP$5:BP31)+SUM(R$5:R31)-SUM(S$5:S31)+SUM(BS$5:BS31)</f>
        <v>400000</v>
      </c>
      <c r="BP32" s="10">
        <f t="shared" si="46"/>
        <v>0</v>
      </c>
      <c r="BQ32" s="10">
        <f t="shared" si="47"/>
        <v>0</v>
      </c>
      <c r="BR32" s="10">
        <f>IF(U32&lt;0,PMT(BN32/12,Podsumowanie!E$8-SUM(AB$5:AB32)+1,BO32),0)</f>
        <v>0</v>
      </c>
      <c r="BS32" s="10">
        <f t="shared" si="41"/>
        <v>0</v>
      </c>
      <c r="BU32" s="11">
        <f>BU$5+SUM(BW$5:BW31)+SUM(R$5:R31)-SUM(S$5:S31)+SUM(BY$5,BY31)</f>
        <v>400000</v>
      </c>
      <c r="BV32" s="10">
        <f t="shared" si="9"/>
        <v>0</v>
      </c>
      <c r="BW32" s="10">
        <f t="shared" si="10"/>
        <v>0</v>
      </c>
      <c r="BX32" s="10">
        <f t="shared" si="48"/>
        <v>0</v>
      </c>
      <c r="BY32" s="10">
        <f t="shared" si="49"/>
        <v>0</v>
      </c>
      <c r="CA32" s="10">
        <f>CA$5+SUM(CB$5:CB31)+SUM(R$5:R31)-SUM(S$5:S31)-SUM(CC$5:CC31)</f>
        <v>400000</v>
      </c>
      <c r="CB32" s="10">
        <f t="shared" si="42"/>
        <v>0</v>
      </c>
      <c r="CC32" s="10">
        <f t="shared" si="43"/>
        <v>0</v>
      </c>
      <c r="CD32" s="10">
        <f t="shared" si="44"/>
        <v>0</v>
      </c>
      <c r="CF32" s="44">
        <f t="shared" si="11"/>
        <v>0.8912</v>
      </c>
      <c r="CG32" s="10">
        <f t="shared" si="45"/>
        <v>0</v>
      </c>
      <c r="CH32" s="4">
        <f t="shared" si="50"/>
        <v>0</v>
      </c>
    </row>
    <row r="33" spans="1:86" ht="15.75">
      <c r="A33" s="36"/>
      <c r="B33" s="37">
        <v>38108</v>
      </c>
      <c r="C33" s="77">
        <f t="shared" si="1"/>
        <v>3.0695</v>
      </c>
      <c r="D33" s="78">
        <f>C33*(1+Podsumowanie!E$11)</f>
        <v>3.161585</v>
      </c>
      <c r="E33" s="34">
        <f t="shared" si="12"/>
        <v>0</v>
      </c>
      <c r="F33" s="7">
        <f t="shared" si="13"/>
        <v>0</v>
      </c>
      <c r="G33" s="7">
        <f t="shared" si="14"/>
        <v>0</v>
      </c>
      <c r="H33" s="7">
        <f t="shared" si="15"/>
        <v>0</v>
      </c>
      <c r="I33" s="32"/>
      <c r="J33" s="4" t="str">
        <f t="shared" si="16"/>
        <v xml:space="preserve"> </v>
      </c>
      <c r="K33" s="4">
        <f>IF(B33&lt;Podsumowanie!E$7,0,K32+1)</f>
        <v>0</v>
      </c>
      <c r="L33" s="100">
        <f t="shared" si="2"/>
        <v>0.002717</v>
      </c>
      <c r="M33" s="38">
        <f>L33+Podsumowanie!E$6</f>
        <v>0.014717000000000001</v>
      </c>
      <c r="N33" s="101">
        <f>MAX(Podsumowanie!E$4+SUM(AA$5:AA32)-SUM(X$5:X33)+SUM(W$5:W33),0)</f>
        <v>181357.6981355522</v>
      </c>
      <c r="O33" s="102">
        <f>MAX(Podsumowanie!E$2+SUM(V$5:V32)-SUM(S$5:S33)+SUM(R$5:R33),0)</f>
        <v>400000</v>
      </c>
      <c r="P33" s="39">
        <f t="shared" si="17"/>
        <v>360</v>
      </c>
      <c r="Q33" s="40" t="str">
        <f>IF(AND(K33&gt;0,K33&lt;=Podsumowanie!E$9),"tak","nie")</f>
        <v>nie</v>
      </c>
      <c r="R33" s="41"/>
      <c r="S33" s="42"/>
      <c r="T33" s="88">
        <f t="shared" si="18"/>
        <v>0</v>
      </c>
      <c r="U33" s="89">
        <f>IF(Q33="tak",T33,IF(P33-SUM(AB$5:AB33)+1&gt;0,IF(Podsumowanie!E$7&lt;B33,IF(SUM(AB$5:AB33)-Podsumowanie!E$9+1&gt;0,PMT(M33/12,P33+1-SUM(AB$5:AB33),O33),T33),0),0))</f>
        <v>0</v>
      </c>
      <c r="V33" s="89">
        <f t="shared" si="19"/>
        <v>0</v>
      </c>
      <c r="W33" s="90" t="str">
        <f>IF(R33&gt;0,R33/(C33*(1-Podsumowanie!E$11))," ")</f>
        <v xml:space="preserve"> </v>
      </c>
      <c r="X33" s="90" t="str">
        <f t="shared" si="20"/>
        <v xml:space="preserve"> </v>
      </c>
      <c r="Y33" s="91">
        <f t="shared" si="21"/>
        <v>0</v>
      </c>
      <c r="Z33" s="90">
        <f>IF(P33-SUM(AB$5:AB33)+1&gt;0,IF(Podsumowanie!E$7&lt;B33,IF(SUM(AB$5:AB33)-Podsumowanie!E$9+1&gt;0,PMT(M33/12,P33+1-SUM(AB$5:AB33),N33),Y33),0),0)</f>
        <v>0</v>
      </c>
      <c r="AA33" s="90">
        <f t="shared" si="22"/>
        <v>0</v>
      </c>
      <c r="AB33" s="8" t="str">
        <f>IF(AND(Podsumowanie!E$7&lt;B33,SUM(AB$5:AB32)&lt;P32),1," ")</f>
        <v xml:space="preserve"> </v>
      </c>
      <c r="AD33" s="10">
        <f>Podsumowanie!E$4-SUM(AF$5:AF32)+SUM(W33:W$42)-SUM(X33:X$42)</f>
        <v>181357.6981355522</v>
      </c>
      <c r="AE33" s="10">
        <f t="shared" si="23"/>
        <v>0</v>
      </c>
      <c r="AF33" s="10">
        <f t="shared" si="24"/>
        <v>0</v>
      </c>
      <c r="AG33" s="10">
        <f t="shared" si="25"/>
        <v>0</v>
      </c>
      <c r="AH33" s="10">
        <f t="shared" si="26"/>
        <v>0</v>
      </c>
      <c r="AI33" s="10">
        <f>Podsumowanie!E$2-SUM(AK$5:AK32)+SUM(R33:R$42)-SUM(S33:S$42)</f>
        <v>400000</v>
      </c>
      <c r="AJ33" s="10">
        <f t="shared" si="27"/>
        <v>0</v>
      </c>
      <c r="AK33" s="10">
        <f t="shared" si="28"/>
        <v>0</v>
      </c>
      <c r="AL33" s="10">
        <f t="shared" si="29"/>
        <v>0</v>
      </c>
      <c r="AM33" s="10">
        <f t="shared" si="30"/>
        <v>0</v>
      </c>
      <c r="AO33" s="43">
        <f t="shared" si="31"/>
        <v>38108</v>
      </c>
      <c r="AP33" s="11">
        <f>AP$5+SUM(AS$5:AS32)-SUM(X$5:X33)+SUM(W$5:W33)</f>
        <v>175916.96719148563</v>
      </c>
      <c r="AQ33" s="10">
        <f t="shared" si="32"/>
        <v>0</v>
      </c>
      <c r="AR33" s="10">
        <f>IF(AB33=1,IF(Q33="tak",AQ33,PMT(M33/12,P33+1-SUM(AB$5:AB33),AP33)),0)</f>
        <v>0</v>
      </c>
      <c r="AS33" s="10">
        <f t="shared" si="33"/>
        <v>0</v>
      </c>
      <c r="AT33" s="10">
        <f t="shared" si="34"/>
        <v>0</v>
      </c>
      <c r="AV33" s="11">
        <f>AV$5+SUM(AX$5:AX32)+SUM(W$5:W32)-SUM(X$5:X32)</f>
        <v>175916.96719148563</v>
      </c>
      <c r="AW33" s="11">
        <f t="shared" si="35"/>
        <v>0</v>
      </c>
      <c r="AX33" s="11">
        <f t="shared" si="36"/>
        <v>0</v>
      </c>
      <c r="AY33" s="11">
        <f t="shared" si="37"/>
        <v>0</v>
      </c>
      <c r="AZ33" s="11">
        <f t="shared" si="38"/>
        <v>0</v>
      </c>
      <c r="BB33" s="191">
        <f t="shared" si="4"/>
        <v>0.0591</v>
      </c>
      <c r="BC33" s="44">
        <f>BB33+Podsumowanie!$E$6</f>
        <v>0.0711</v>
      </c>
      <c r="BD33" s="11">
        <f>BD$5+SUM(BE$5:BE32)+SUM(R$5:R32)-SUM(S$5:S32)</f>
        <v>400000</v>
      </c>
      <c r="BE33" s="10">
        <f t="shared" si="39"/>
        <v>0</v>
      </c>
      <c r="BF33" s="10">
        <f t="shared" si="40"/>
        <v>0</v>
      </c>
      <c r="BG33" s="10">
        <f>IF(U33&lt;0,PMT(BC33/12,Podsumowanie!E$8-SUM(AB$5:AB33)+1,BD33),0)</f>
        <v>0</v>
      </c>
      <c r="BI33" s="11">
        <f>BI$5+SUM(BK$5:BK32)+SUM(R$5:R32)-SUM(S$5:S32)</f>
        <v>400000</v>
      </c>
      <c r="BJ33" s="11">
        <f t="shared" si="5"/>
        <v>0</v>
      </c>
      <c r="BK33" s="11">
        <f t="shared" si="6"/>
        <v>0</v>
      </c>
      <c r="BL33" s="11">
        <f t="shared" si="7"/>
        <v>0</v>
      </c>
      <c r="BN33" s="44">
        <f t="shared" si="8"/>
        <v>0.0712</v>
      </c>
      <c r="BO33" s="11">
        <f>BO$5+SUM(BP$5:BP32)+SUM(R$5:R32)-SUM(S$5:S32)+SUM(BS$5:BS32)</f>
        <v>400000</v>
      </c>
      <c r="BP33" s="10">
        <f t="shared" si="46"/>
        <v>0</v>
      </c>
      <c r="BQ33" s="10">
        <f t="shared" si="47"/>
        <v>0</v>
      </c>
      <c r="BR33" s="10">
        <f>IF(U33&lt;0,PMT(BN33/12,Podsumowanie!E$8-SUM(AB$5:AB33)+1,BO33),0)</f>
        <v>0</v>
      </c>
      <c r="BS33" s="10">
        <f t="shared" si="41"/>
        <v>0</v>
      </c>
      <c r="BU33" s="11">
        <f>BU$5+SUM(BW$5:BW32)+SUM(R$5:R32)-SUM(S$5:S32)+SUM(BY$5,BY32)</f>
        <v>400000</v>
      </c>
      <c r="BV33" s="10">
        <f t="shared" si="9"/>
        <v>0</v>
      </c>
      <c r="BW33" s="10">
        <f t="shared" si="10"/>
        <v>0</v>
      </c>
      <c r="BX33" s="10">
        <f t="shared" si="48"/>
        <v>0</v>
      </c>
      <c r="BY33" s="10">
        <f t="shared" si="49"/>
        <v>0</v>
      </c>
      <c r="CA33" s="10">
        <f>CA$5+SUM(CB$5:CB32)+SUM(R$5:R32)-SUM(S$5:S32)-SUM(CC$5:CC32)</f>
        <v>400000</v>
      </c>
      <c r="CB33" s="10">
        <f t="shared" si="42"/>
        <v>0</v>
      </c>
      <c r="CC33" s="10">
        <f t="shared" si="43"/>
        <v>0</v>
      </c>
      <c r="CD33" s="10">
        <f t="shared" si="44"/>
        <v>0</v>
      </c>
      <c r="CF33" s="44">
        <f t="shared" si="11"/>
        <v>0.8725</v>
      </c>
      <c r="CG33" s="10">
        <f t="shared" si="45"/>
        <v>0</v>
      </c>
      <c r="CH33" s="4">
        <f t="shared" si="50"/>
        <v>0</v>
      </c>
    </row>
    <row r="34" spans="1:86" ht="15.75">
      <c r="A34" s="36"/>
      <c r="B34" s="37">
        <v>38139</v>
      </c>
      <c r="C34" s="77">
        <f t="shared" si="1"/>
        <v>3.0252</v>
      </c>
      <c r="D34" s="78">
        <f>C34*(1+Podsumowanie!E$11)</f>
        <v>3.115956</v>
      </c>
      <c r="E34" s="34">
        <f t="shared" si="12"/>
        <v>0</v>
      </c>
      <c r="F34" s="7">
        <f t="shared" si="13"/>
        <v>0</v>
      </c>
      <c r="G34" s="7">
        <f t="shared" si="14"/>
        <v>0</v>
      </c>
      <c r="H34" s="7">
        <f t="shared" si="15"/>
        <v>0</v>
      </c>
      <c r="I34" s="32"/>
      <c r="J34" s="4" t="str">
        <f t="shared" si="16"/>
        <v xml:space="preserve"> </v>
      </c>
      <c r="K34" s="4">
        <f>IF(B34&lt;Podsumowanie!E$7,0,K33+1)</f>
        <v>0</v>
      </c>
      <c r="L34" s="100">
        <f t="shared" si="2"/>
        <v>0.0026</v>
      </c>
      <c r="M34" s="38">
        <f>L34+Podsumowanie!E$6</f>
        <v>0.0146</v>
      </c>
      <c r="N34" s="101">
        <f>MAX(Podsumowanie!E$4+SUM(AA$5:AA33)-SUM(X$5:X34)+SUM(W$5:W34),0)</f>
        <v>181357.6981355522</v>
      </c>
      <c r="O34" s="102">
        <f>MAX(Podsumowanie!E$2+SUM(V$5:V33)-SUM(S$5:S34)+SUM(R$5:R34),0)</f>
        <v>400000</v>
      </c>
      <c r="P34" s="39">
        <f t="shared" si="17"/>
        <v>360</v>
      </c>
      <c r="Q34" s="40" t="str">
        <f>IF(AND(K34&gt;0,K34&lt;=Podsumowanie!E$9),"tak","nie")</f>
        <v>nie</v>
      </c>
      <c r="R34" s="41"/>
      <c r="S34" s="42"/>
      <c r="T34" s="88">
        <f t="shared" si="18"/>
        <v>0</v>
      </c>
      <c r="U34" s="89">
        <f>IF(Q34="tak",T34,IF(P34-SUM(AB$5:AB34)+1&gt;0,IF(Podsumowanie!E$7&lt;B34,IF(SUM(AB$5:AB34)-Podsumowanie!E$9+1&gt;0,PMT(M34/12,P34+1-SUM(AB$5:AB34),O34),T34),0),0))</f>
        <v>0</v>
      </c>
      <c r="V34" s="89">
        <f t="shared" si="19"/>
        <v>0</v>
      </c>
      <c r="W34" s="90" t="str">
        <f>IF(R34&gt;0,R34/(C34*(1-Podsumowanie!E$11))," ")</f>
        <v xml:space="preserve"> </v>
      </c>
      <c r="X34" s="90" t="str">
        <f t="shared" si="20"/>
        <v xml:space="preserve"> </v>
      </c>
      <c r="Y34" s="91">
        <f t="shared" si="21"/>
        <v>0</v>
      </c>
      <c r="Z34" s="90">
        <f>IF(P34-SUM(AB$5:AB34)+1&gt;0,IF(Podsumowanie!E$7&lt;B34,IF(SUM(AB$5:AB34)-Podsumowanie!E$9+1&gt;0,PMT(M34/12,P34+1-SUM(AB$5:AB34),N34),Y34),0),0)</f>
        <v>0</v>
      </c>
      <c r="AA34" s="90">
        <f t="shared" si="22"/>
        <v>0</v>
      </c>
      <c r="AB34" s="8" t="str">
        <f>IF(AND(Podsumowanie!E$7&lt;B34,SUM(AB$5:AB33)&lt;P33),1," ")</f>
        <v xml:space="preserve"> </v>
      </c>
      <c r="AD34" s="10">
        <f>Podsumowanie!E$4-SUM(AF$5:AF33)+SUM(W34:W$42)-SUM(X34:X$42)</f>
        <v>181357.6981355522</v>
      </c>
      <c r="AE34" s="10">
        <f t="shared" si="23"/>
        <v>0</v>
      </c>
      <c r="AF34" s="10">
        <f t="shared" si="24"/>
        <v>0</v>
      </c>
      <c r="AG34" s="10">
        <f t="shared" si="25"/>
        <v>0</v>
      </c>
      <c r="AH34" s="10">
        <f t="shared" si="26"/>
        <v>0</v>
      </c>
      <c r="AI34" s="10">
        <f>Podsumowanie!E$2-SUM(AK$5:AK33)+SUM(R34:R$42)-SUM(S34:S$42)</f>
        <v>400000</v>
      </c>
      <c r="AJ34" s="10">
        <f t="shared" si="27"/>
        <v>0</v>
      </c>
      <c r="AK34" s="10">
        <f t="shared" si="28"/>
        <v>0</v>
      </c>
      <c r="AL34" s="10">
        <f t="shared" si="29"/>
        <v>0</v>
      </c>
      <c r="AM34" s="10">
        <f t="shared" si="30"/>
        <v>0</v>
      </c>
      <c r="AO34" s="43">
        <f t="shared" si="31"/>
        <v>38139</v>
      </c>
      <c r="AP34" s="11">
        <f>AP$5+SUM(AS$5:AS33)-SUM(X$5:X34)+SUM(W$5:W34)</f>
        <v>175916.96719148563</v>
      </c>
      <c r="AQ34" s="10">
        <f t="shared" si="32"/>
        <v>0</v>
      </c>
      <c r="AR34" s="10">
        <f>IF(AB34=1,IF(Q34="tak",AQ34,PMT(M34/12,P34+1-SUM(AB$5:AB34),AP34)),0)</f>
        <v>0</v>
      </c>
      <c r="AS34" s="10">
        <f t="shared" si="33"/>
        <v>0</v>
      </c>
      <c r="AT34" s="10">
        <f t="shared" si="34"/>
        <v>0</v>
      </c>
      <c r="AV34" s="11">
        <f>AV$5+SUM(AX$5:AX33)+SUM(W$5:W33)-SUM(X$5:X33)</f>
        <v>175916.96719148563</v>
      </c>
      <c r="AW34" s="11">
        <f t="shared" si="35"/>
        <v>0</v>
      </c>
      <c r="AX34" s="11">
        <f t="shared" si="36"/>
        <v>0</v>
      </c>
      <c r="AY34" s="11">
        <f t="shared" si="37"/>
        <v>0</v>
      </c>
      <c r="AZ34" s="11">
        <f t="shared" si="38"/>
        <v>0</v>
      </c>
      <c r="BB34" s="191">
        <f t="shared" si="4"/>
        <v>0.0595</v>
      </c>
      <c r="BC34" s="44">
        <f>BB34+Podsumowanie!$E$6</f>
        <v>0.0715</v>
      </c>
      <c r="BD34" s="11">
        <f>BD$5+SUM(BE$5:BE33)+SUM(R$5:R33)-SUM(S$5:S33)</f>
        <v>400000</v>
      </c>
      <c r="BE34" s="10">
        <f t="shared" si="39"/>
        <v>0</v>
      </c>
      <c r="BF34" s="10">
        <f t="shared" si="40"/>
        <v>0</v>
      </c>
      <c r="BG34" s="10">
        <f>IF(U34&lt;0,PMT(BC34/12,Podsumowanie!E$8-SUM(AB$5:AB34)+1,BD34),0)</f>
        <v>0</v>
      </c>
      <c r="BI34" s="11">
        <f>BI$5+SUM(BK$5:BK33)+SUM(R$5:R33)-SUM(S$5:S33)</f>
        <v>400000</v>
      </c>
      <c r="BJ34" s="11">
        <f t="shared" si="5"/>
        <v>0</v>
      </c>
      <c r="BK34" s="11">
        <f t="shared" si="6"/>
        <v>0</v>
      </c>
      <c r="BL34" s="11">
        <f t="shared" si="7"/>
        <v>0</v>
      </c>
      <c r="BN34" s="44">
        <f t="shared" si="8"/>
        <v>0.0716</v>
      </c>
      <c r="BO34" s="11">
        <f>BO$5+SUM(BP$5:BP33)+SUM(R$5:R33)-SUM(S$5:S33)+SUM(BS$5:BS33)</f>
        <v>400000</v>
      </c>
      <c r="BP34" s="10">
        <f t="shared" si="46"/>
        <v>0</v>
      </c>
      <c r="BQ34" s="10">
        <f t="shared" si="47"/>
        <v>0</v>
      </c>
      <c r="BR34" s="10">
        <f>IF(U34&lt;0,PMT(BN34/12,Podsumowanie!E$8-SUM(AB$5:AB34)+1,BO34),0)</f>
        <v>0</v>
      </c>
      <c r="BS34" s="10">
        <f t="shared" si="41"/>
        <v>0</v>
      </c>
      <c r="BU34" s="11">
        <f>BU$5+SUM(BW$5:BW33)+SUM(R$5:R33)-SUM(S$5:S33)+SUM(BY$5,BY33)</f>
        <v>400000</v>
      </c>
      <c r="BV34" s="10">
        <f t="shared" si="9"/>
        <v>0</v>
      </c>
      <c r="BW34" s="10">
        <f t="shared" si="10"/>
        <v>0</v>
      </c>
      <c r="BX34" s="10">
        <f t="shared" si="48"/>
        <v>0</v>
      </c>
      <c r="BY34" s="10">
        <f t="shared" si="49"/>
        <v>0</v>
      </c>
      <c r="CA34" s="10">
        <f>CA$5+SUM(CB$5:CB33)+SUM(R$5:R33)-SUM(S$5:S33)-SUM(CC$5:CC33)</f>
        <v>400000</v>
      </c>
      <c r="CB34" s="10">
        <f t="shared" si="42"/>
        <v>0</v>
      </c>
      <c r="CC34" s="10">
        <f t="shared" si="43"/>
        <v>0</v>
      </c>
      <c r="CD34" s="10">
        <f t="shared" si="44"/>
        <v>0</v>
      </c>
      <c r="CF34" s="44">
        <f t="shared" si="11"/>
        <v>0.8558</v>
      </c>
      <c r="CG34" s="10">
        <f t="shared" si="45"/>
        <v>0</v>
      </c>
      <c r="CH34" s="4">
        <f t="shared" si="50"/>
        <v>0</v>
      </c>
    </row>
    <row r="35" spans="1:86" ht="15.75">
      <c r="A35" s="36"/>
      <c r="B35" s="37">
        <v>38169</v>
      </c>
      <c r="C35" s="77">
        <f t="shared" si="1"/>
        <v>2.9271</v>
      </c>
      <c r="D35" s="78">
        <f>C35*(1+Podsumowanie!E$11)</f>
        <v>3.014913</v>
      </c>
      <c r="E35" s="34">
        <f t="shared" si="12"/>
        <v>0</v>
      </c>
      <c r="F35" s="7">
        <f t="shared" si="13"/>
        <v>0</v>
      </c>
      <c r="G35" s="7">
        <f t="shared" si="14"/>
        <v>0</v>
      </c>
      <c r="H35" s="7">
        <f t="shared" si="15"/>
        <v>0</v>
      </c>
      <c r="I35" s="32"/>
      <c r="J35" s="4" t="str">
        <f t="shared" si="16"/>
        <v xml:space="preserve"> </v>
      </c>
      <c r="K35" s="4">
        <f>IF(B35&lt;Podsumowanie!E$7,0,K34+1)</f>
        <v>0</v>
      </c>
      <c r="L35" s="100">
        <f t="shared" si="2"/>
        <v>0.004967</v>
      </c>
      <c r="M35" s="38">
        <f>L35+Podsumowanie!E$6</f>
        <v>0.016967</v>
      </c>
      <c r="N35" s="101">
        <f>MAX(Podsumowanie!E$4+SUM(AA$5:AA34)-SUM(X$5:X35)+SUM(W$5:W35),0)</f>
        <v>181357.6981355522</v>
      </c>
      <c r="O35" s="102">
        <f>MAX(Podsumowanie!E$2+SUM(V$5:V34)-SUM(S$5:S35)+SUM(R$5:R35),0)</f>
        <v>400000</v>
      </c>
      <c r="P35" s="39">
        <f t="shared" si="17"/>
        <v>360</v>
      </c>
      <c r="Q35" s="40" t="str">
        <f>IF(AND(K35&gt;0,K35&lt;=Podsumowanie!E$9),"tak","nie")</f>
        <v>nie</v>
      </c>
      <c r="R35" s="41"/>
      <c r="S35" s="42"/>
      <c r="T35" s="88">
        <f t="shared" si="18"/>
        <v>0</v>
      </c>
      <c r="U35" s="89">
        <f>IF(Q35="tak",T35,IF(P35-SUM(AB$5:AB35)+1&gt;0,IF(Podsumowanie!E$7&lt;B35,IF(SUM(AB$5:AB35)-Podsumowanie!E$9+1&gt;0,PMT(M35/12,P35+1-SUM(AB$5:AB35),O35),T35),0),0))</f>
        <v>0</v>
      </c>
      <c r="V35" s="89">
        <f t="shared" si="19"/>
        <v>0</v>
      </c>
      <c r="W35" s="90" t="str">
        <f>IF(R35&gt;0,R35/(C35*(1-Podsumowanie!E$11))," ")</f>
        <v xml:space="preserve"> </v>
      </c>
      <c r="X35" s="90" t="str">
        <f t="shared" si="20"/>
        <v xml:space="preserve"> </v>
      </c>
      <c r="Y35" s="91">
        <f t="shared" si="21"/>
        <v>0</v>
      </c>
      <c r="Z35" s="90">
        <f>IF(P35-SUM(AB$5:AB35)+1&gt;0,IF(Podsumowanie!E$7&lt;B35,IF(SUM(AB$5:AB35)-Podsumowanie!E$9+1&gt;0,PMT(M35/12,P35+1-SUM(AB$5:AB35),N35),Y35),0),0)</f>
        <v>0</v>
      </c>
      <c r="AA35" s="90">
        <f t="shared" si="22"/>
        <v>0</v>
      </c>
      <c r="AB35" s="8" t="str">
        <f>IF(AND(Podsumowanie!E$7&lt;B35,SUM(AB$5:AB34)&lt;P34),1," ")</f>
        <v xml:space="preserve"> </v>
      </c>
      <c r="AD35" s="10">
        <f>Podsumowanie!E$4-SUM(AF$5:AF34)+SUM(W35:W$42)-SUM(X35:X$42)</f>
        <v>181357.6981355522</v>
      </c>
      <c r="AE35" s="10">
        <f t="shared" si="23"/>
        <v>0</v>
      </c>
      <c r="AF35" s="10">
        <f t="shared" si="24"/>
        <v>0</v>
      </c>
      <c r="AG35" s="10">
        <f t="shared" si="25"/>
        <v>0</v>
      </c>
      <c r="AH35" s="10">
        <f t="shared" si="26"/>
        <v>0</v>
      </c>
      <c r="AI35" s="10">
        <f>Podsumowanie!E$2-SUM(AK$5:AK34)+SUM(R35:R$42)-SUM(S35:S$42)</f>
        <v>400000</v>
      </c>
      <c r="AJ35" s="10">
        <f t="shared" si="27"/>
        <v>0</v>
      </c>
      <c r="AK35" s="10">
        <f t="shared" si="28"/>
        <v>0</v>
      </c>
      <c r="AL35" s="10">
        <f t="shared" si="29"/>
        <v>0</v>
      </c>
      <c r="AM35" s="10">
        <f t="shared" si="30"/>
        <v>0</v>
      </c>
      <c r="AO35" s="43">
        <f t="shared" si="31"/>
        <v>38169</v>
      </c>
      <c r="AP35" s="11">
        <f>AP$5+SUM(AS$5:AS34)-SUM(X$5:X35)+SUM(W$5:W35)</f>
        <v>175916.96719148563</v>
      </c>
      <c r="AQ35" s="10">
        <f t="shared" si="32"/>
        <v>0</v>
      </c>
      <c r="AR35" s="10">
        <f>IF(AB35=1,IF(Q35="tak",AQ35,PMT(M35/12,P35+1-SUM(AB$5:AB35),AP35)),0)</f>
        <v>0</v>
      </c>
      <c r="AS35" s="10">
        <f t="shared" si="33"/>
        <v>0</v>
      </c>
      <c r="AT35" s="10">
        <f t="shared" si="34"/>
        <v>0</v>
      </c>
      <c r="AV35" s="11">
        <f>AV$5+SUM(AX$5:AX34)+SUM(W$5:W34)-SUM(X$5:X34)</f>
        <v>175916.96719148563</v>
      </c>
      <c r="AW35" s="11">
        <f t="shared" si="35"/>
        <v>0</v>
      </c>
      <c r="AX35" s="11">
        <f t="shared" si="36"/>
        <v>0</v>
      </c>
      <c r="AY35" s="11">
        <f t="shared" si="37"/>
        <v>0</v>
      </c>
      <c r="AZ35" s="11">
        <f t="shared" si="38"/>
        <v>0</v>
      </c>
      <c r="BB35" s="191">
        <f t="shared" si="4"/>
        <v>0.0618</v>
      </c>
      <c r="BC35" s="44">
        <f>BB35+Podsumowanie!$E$6</f>
        <v>0.0738</v>
      </c>
      <c r="BD35" s="11">
        <f>BD$5+SUM(BE$5:BE34)+SUM(R$5:R34)-SUM(S$5:S34)</f>
        <v>400000</v>
      </c>
      <c r="BE35" s="10">
        <f t="shared" si="39"/>
        <v>0</v>
      </c>
      <c r="BF35" s="10">
        <f t="shared" si="40"/>
        <v>0</v>
      </c>
      <c r="BG35" s="10">
        <f>IF(U35&lt;0,PMT(BC35/12,Podsumowanie!E$8-SUM(AB$5:AB35)+1,BD35),0)</f>
        <v>0</v>
      </c>
      <c r="BI35" s="11">
        <f>BI$5+SUM(BK$5:BK34)+SUM(R$5:R34)-SUM(S$5:S34)</f>
        <v>400000</v>
      </c>
      <c r="BJ35" s="11">
        <f t="shared" si="5"/>
        <v>0</v>
      </c>
      <c r="BK35" s="11">
        <f t="shared" si="6"/>
        <v>0</v>
      </c>
      <c r="BL35" s="11">
        <f t="shared" si="7"/>
        <v>0</v>
      </c>
      <c r="BN35" s="44">
        <f t="shared" si="8"/>
        <v>0.0739</v>
      </c>
      <c r="BO35" s="11">
        <f>BO$5+SUM(BP$5:BP34)+SUM(R$5:R34)-SUM(S$5:S34)+SUM(BS$5:BS34)</f>
        <v>400000</v>
      </c>
      <c r="BP35" s="10">
        <f t="shared" si="46"/>
        <v>0</v>
      </c>
      <c r="BQ35" s="10">
        <f t="shared" si="47"/>
        <v>0</v>
      </c>
      <c r="BR35" s="10">
        <f>IF(U35&lt;0,PMT(BN35/12,Podsumowanie!E$8-SUM(AB$5:AB35)+1,BO35),0)</f>
        <v>0</v>
      </c>
      <c r="BS35" s="10">
        <f t="shared" si="41"/>
        <v>0</v>
      </c>
      <c r="BU35" s="11">
        <f>BU$5+SUM(BW$5:BW34)+SUM(R$5:R34)-SUM(S$5:S34)+SUM(BY$5,BY34)</f>
        <v>400000</v>
      </c>
      <c r="BV35" s="10">
        <f t="shared" si="9"/>
        <v>0</v>
      </c>
      <c r="BW35" s="10">
        <f t="shared" si="10"/>
        <v>0</v>
      </c>
      <c r="BX35" s="10">
        <f t="shared" si="48"/>
        <v>0</v>
      </c>
      <c r="BY35" s="10">
        <f t="shared" si="49"/>
        <v>0</v>
      </c>
      <c r="CA35" s="10">
        <f>CA$5+SUM(CB$5:CB34)+SUM(R$5:R34)-SUM(S$5:S34)-SUM(CC$5:CC34)</f>
        <v>400000</v>
      </c>
      <c r="CB35" s="10">
        <f t="shared" si="42"/>
        <v>0</v>
      </c>
      <c r="CC35" s="10">
        <f t="shared" si="43"/>
        <v>0</v>
      </c>
      <c r="CD35" s="10">
        <f t="shared" si="44"/>
        <v>0</v>
      </c>
      <c r="CF35" s="44">
        <f t="shared" si="11"/>
        <v>0.8576</v>
      </c>
      <c r="CG35" s="10">
        <f t="shared" si="45"/>
        <v>0</v>
      </c>
      <c r="CH35" s="4">
        <f t="shared" si="50"/>
        <v>0</v>
      </c>
    </row>
    <row r="36" spans="1:86" ht="15.75">
      <c r="A36" s="36"/>
      <c r="B36" s="37">
        <v>38200</v>
      </c>
      <c r="C36" s="77">
        <f t="shared" si="1"/>
        <v>2.8836</v>
      </c>
      <c r="D36" s="78">
        <f>C36*(1+Podsumowanie!E$11)</f>
        <v>2.970108</v>
      </c>
      <c r="E36" s="34">
        <f t="shared" si="12"/>
        <v>0</v>
      </c>
      <c r="F36" s="7">
        <f t="shared" si="13"/>
        <v>0</v>
      </c>
      <c r="G36" s="7">
        <f t="shared" si="14"/>
        <v>0</v>
      </c>
      <c r="H36" s="7">
        <f t="shared" si="15"/>
        <v>0</v>
      </c>
      <c r="I36" s="32"/>
      <c r="J36" s="4" t="str">
        <f t="shared" si="16"/>
        <v xml:space="preserve"> </v>
      </c>
      <c r="K36" s="4">
        <f>IF(B36&lt;Podsumowanie!E$7,0,K35+1)</f>
        <v>0</v>
      </c>
      <c r="L36" s="100">
        <f t="shared" si="2"/>
        <v>0.005333</v>
      </c>
      <c r="M36" s="38">
        <f>L36+Podsumowanie!E$6</f>
        <v>0.017333</v>
      </c>
      <c r="N36" s="101">
        <f>MAX(Podsumowanie!E$4+SUM(AA$5:AA35)-SUM(X$5:X36)+SUM(W$5:W36),0)</f>
        <v>181357.6981355522</v>
      </c>
      <c r="O36" s="102">
        <f>MAX(Podsumowanie!E$2+SUM(V$5:V35)-SUM(S$5:S36)+SUM(R$5:R36),0)</f>
        <v>400000</v>
      </c>
      <c r="P36" s="39">
        <f t="shared" si="17"/>
        <v>360</v>
      </c>
      <c r="Q36" s="40" t="str">
        <f>IF(AND(K36&gt;0,K36&lt;=Podsumowanie!E$9),"tak","nie")</f>
        <v>nie</v>
      </c>
      <c r="R36" s="41"/>
      <c r="S36" s="42"/>
      <c r="T36" s="88">
        <f t="shared" si="18"/>
        <v>0</v>
      </c>
      <c r="U36" s="89">
        <f>IF(Q36="tak",T36,IF(P36-SUM(AB$5:AB36)+1&gt;0,IF(Podsumowanie!E$7&lt;B36,IF(SUM(AB$5:AB36)-Podsumowanie!E$9+1&gt;0,PMT(M36/12,P36+1-SUM(AB$5:AB36),O36),T36),0),0))</f>
        <v>0</v>
      </c>
      <c r="V36" s="89">
        <f t="shared" si="19"/>
        <v>0</v>
      </c>
      <c r="W36" s="90" t="str">
        <f>IF(R36&gt;0,R36/(C36*(1-Podsumowanie!E$11))," ")</f>
        <v xml:space="preserve"> </v>
      </c>
      <c r="X36" s="90" t="str">
        <f t="shared" si="20"/>
        <v xml:space="preserve"> </v>
      </c>
      <c r="Y36" s="91">
        <f t="shared" si="21"/>
        <v>0</v>
      </c>
      <c r="Z36" s="90">
        <f>IF(P36-SUM(AB$5:AB36)+1&gt;0,IF(Podsumowanie!E$7&lt;B36,IF(SUM(AB$5:AB36)-Podsumowanie!E$9+1&gt;0,PMT(M36/12,P36+1-SUM(AB$5:AB36),N36),Y36),0),0)</f>
        <v>0</v>
      </c>
      <c r="AA36" s="90">
        <f t="shared" si="22"/>
        <v>0</v>
      </c>
      <c r="AB36" s="8" t="str">
        <f>IF(AND(Podsumowanie!E$7&lt;B36,SUM(AB$5:AB35)&lt;P35),1," ")</f>
        <v xml:space="preserve"> </v>
      </c>
      <c r="AD36" s="10">
        <f>Podsumowanie!E$4-SUM(AF$5:AF35)+SUM(W36:W$42)-SUM(X36:X$42)</f>
        <v>181357.6981355522</v>
      </c>
      <c r="AE36" s="10">
        <f t="shared" si="23"/>
        <v>0</v>
      </c>
      <c r="AF36" s="10">
        <f t="shared" si="24"/>
        <v>0</v>
      </c>
      <c r="AG36" s="10">
        <f t="shared" si="25"/>
        <v>0</v>
      </c>
      <c r="AH36" s="10">
        <f t="shared" si="26"/>
        <v>0</v>
      </c>
      <c r="AI36" s="10">
        <f>Podsumowanie!E$2-SUM(AK$5:AK35)+SUM(R36:R$42)-SUM(S36:S$42)</f>
        <v>400000</v>
      </c>
      <c r="AJ36" s="10">
        <f t="shared" si="27"/>
        <v>0</v>
      </c>
      <c r="AK36" s="10">
        <f t="shared" si="28"/>
        <v>0</v>
      </c>
      <c r="AL36" s="10">
        <f t="shared" si="29"/>
        <v>0</v>
      </c>
      <c r="AM36" s="10">
        <f t="shared" si="30"/>
        <v>0</v>
      </c>
      <c r="AO36" s="43">
        <f t="shared" si="31"/>
        <v>38200</v>
      </c>
      <c r="AP36" s="11">
        <f>AP$5+SUM(AS$5:AS35)-SUM(X$5:X36)+SUM(W$5:W36)</f>
        <v>175916.96719148563</v>
      </c>
      <c r="AQ36" s="10">
        <f t="shared" si="32"/>
        <v>0</v>
      </c>
      <c r="AR36" s="10">
        <f>IF(AB36=1,IF(Q36="tak",AQ36,PMT(M36/12,P36+1-SUM(AB$5:AB36),AP36)),0)</f>
        <v>0</v>
      </c>
      <c r="AS36" s="10">
        <f t="shared" si="33"/>
        <v>0</v>
      </c>
      <c r="AT36" s="10">
        <f t="shared" si="34"/>
        <v>0</v>
      </c>
      <c r="AV36" s="11">
        <f>AV$5+SUM(AX$5:AX35)+SUM(W$5:W35)-SUM(X$5:X35)</f>
        <v>175916.96719148563</v>
      </c>
      <c r="AW36" s="11">
        <f t="shared" si="35"/>
        <v>0</v>
      </c>
      <c r="AX36" s="11">
        <f t="shared" si="36"/>
        <v>0</v>
      </c>
      <c r="AY36" s="11">
        <f t="shared" si="37"/>
        <v>0</v>
      </c>
      <c r="AZ36" s="11">
        <f t="shared" si="38"/>
        <v>0</v>
      </c>
      <c r="BB36" s="191">
        <f t="shared" si="4"/>
        <v>0.0641</v>
      </c>
      <c r="BC36" s="44">
        <f>BB36+Podsumowanie!$E$6</f>
        <v>0.0761</v>
      </c>
      <c r="BD36" s="11">
        <f>BD$5+SUM(BE$5:BE35)+SUM(R$5:R35)-SUM(S$5:S35)</f>
        <v>400000</v>
      </c>
      <c r="BE36" s="10">
        <f t="shared" si="39"/>
        <v>0</v>
      </c>
      <c r="BF36" s="10">
        <f t="shared" si="40"/>
        <v>0</v>
      </c>
      <c r="BG36" s="10">
        <f>IF(U36&lt;0,PMT(BC36/12,Podsumowanie!E$8-SUM(AB$5:AB36)+1,BD36),0)</f>
        <v>0</v>
      </c>
      <c r="BI36" s="11">
        <f>BI$5+SUM(BK$5:BK35)+SUM(R$5:R35)-SUM(S$5:S35)</f>
        <v>400000</v>
      </c>
      <c r="BJ36" s="11">
        <f t="shared" si="5"/>
        <v>0</v>
      </c>
      <c r="BK36" s="11">
        <f t="shared" si="6"/>
        <v>0</v>
      </c>
      <c r="BL36" s="11">
        <f t="shared" si="7"/>
        <v>0</v>
      </c>
      <c r="BN36" s="44">
        <f t="shared" si="8"/>
        <v>0.0762</v>
      </c>
      <c r="BO36" s="11">
        <f>BO$5+SUM(BP$5:BP35)+SUM(R$5:R35)-SUM(S$5:S35)+SUM(BS$5:BS35)</f>
        <v>400000</v>
      </c>
      <c r="BP36" s="10">
        <f t="shared" si="46"/>
        <v>0</v>
      </c>
      <c r="BQ36" s="10">
        <f t="shared" si="47"/>
        <v>0</v>
      </c>
      <c r="BR36" s="10">
        <f>IF(U36&lt;0,PMT(BN36/12,Podsumowanie!E$8-SUM(AB$5:AB36)+1,BO36),0)</f>
        <v>0</v>
      </c>
      <c r="BS36" s="10">
        <f t="shared" si="41"/>
        <v>0</v>
      </c>
      <c r="BU36" s="11">
        <f>BU$5+SUM(BW$5:BW35)+SUM(R$5:R35)-SUM(S$5:S35)+SUM(BY$5,BY35)</f>
        <v>400000</v>
      </c>
      <c r="BV36" s="10">
        <f t="shared" si="9"/>
        <v>0</v>
      </c>
      <c r="BW36" s="10">
        <f t="shared" si="10"/>
        <v>0</v>
      </c>
      <c r="BX36" s="10">
        <f t="shared" si="48"/>
        <v>0</v>
      </c>
      <c r="BY36" s="10">
        <f t="shared" si="49"/>
        <v>0</v>
      </c>
      <c r="CA36" s="10">
        <f>CA$5+SUM(CB$5:CB35)+SUM(R$5:R35)-SUM(S$5:S35)-SUM(CC$5:CC35)</f>
        <v>400000</v>
      </c>
      <c r="CB36" s="10">
        <f t="shared" si="42"/>
        <v>0</v>
      </c>
      <c r="CC36" s="10">
        <f t="shared" si="43"/>
        <v>0</v>
      </c>
      <c r="CD36" s="10">
        <f t="shared" si="44"/>
        <v>0</v>
      </c>
      <c r="CF36" s="44">
        <f t="shared" si="11"/>
        <v>0.8651</v>
      </c>
      <c r="CG36" s="10">
        <f t="shared" si="45"/>
        <v>0</v>
      </c>
      <c r="CH36" s="4">
        <f t="shared" si="50"/>
        <v>0</v>
      </c>
    </row>
    <row r="37" spans="1:86" ht="15.75">
      <c r="A37" s="36"/>
      <c r="B37" s="37">
        <v>38231</v>
      </c>
      <c r="C37" s="77">
        <f t="shared" si="1"/>
        <v>2.8365</v>
      </c>
      <c r="D37" s="78">
        <f>C37*(1+Podsumowanie!E$11)</f>
        <v>2.921595</v>
      </c>
      <c r="E37" s="34">
        <f t="shared" si="12"/>
        <v>0</v>
      </c>
      <c r="F37" s="7">
        <f t="shared" si="13"/>
        <v>0</v>
      </c>
      <c r="G37" s="7">
        <f t="shared" si="14"/>
        <v>0</v>
      </c>
      <c r="H37" s="7">
        <f t="shared" si="15"/>
        <v>0</v>
      </c>
      <c r="I37" s="32"/>
      <c r="J37" s="4" t="str">
        <f t="shared" si="16"/>
        <v xml:space="preserve"> </v>
      </c>
      <c r="K37" s="4">
        <f>IF(B37&lt;Podsumowanie!E$7,0,K36+1)</f>
        <v>0</v>
      </c>
      <c r="L37" s="100">
        <f t="shared" si="2"/>
        <v>0.00645</v>
      </c>
      <c r="M37" s="38">
        <f>L37+Podsumowanie!E$6</f>
        <v>0.01845</v>
      </c>
      <c r="N37" s="101">
        <f>MAX(Podsumowanie!E$4+SUM(AA$5:AA36)-SUM(X$5:X37)+SUM(W$5:W37),0)</f>
        <v>181357.6981355522</v>
      </c>
      <c r="O37" s="102">
        <f>MAX(Podsumowanie!E$2+SUM(V$5:V36)-SUM(S$5:S37)+SUM(R$5:R37),0)</f>
        <v>400000</v>
      </c>
      <c r="P37" s="39">
        <f t="shared" si="17"/>
        <v>360</v>
      </c>
      <c r="Q37" s="40" t="str">
        <f>IF(AND(K37&gt;0,K37&lt;=Podsumowanie!E$9),"tak","nie")</f>
        <v>nie</v>
      </c>
      <c r="R37" s="41"/>
      <c r="S37" s="42"/>
      <c r="T37" s="88">
        <f t="shared" si="18"/>
        <v>0</v>
      </c>
      <c r="U37" s="89">
        <f>IF(Q37="tak",T37,IF(P37-SUM(AB$5:AB37)+1&gt;0,IF(Podsumowanie!E$7&lt;B37,IF(SUM(AB$5:AB37)-Podsumowanie!E$9+1&gt;0,PMT(M37/12,P37+1-SUM(AB$5:AB37),O37),T37),0),0))</f>
        <v>0</v>
      </c>
      <c r="V37" s="89">
        <f t="shared" si="19"/>
        <v>0</v>
      </c>
      <c r="W37" s="90" t="str">
        <f>IF(R37&gt;0,R37/(C37*(1-Podsumowanie!E$11))," ")</f>
        <v xml:space="preserve"> </v>
      </c>
      <c r="X37" s="90" t="str">
        <f t="shared" si="20"/>
        <v xml:space="preserve"> </v>
      </c>
      <c r="Y37" s="91">
        <f t="shared" si="21"/>
        <v>0</v>
      </c>
      <c r="Z37" s="90">
        <f>IF(P37-SUM(AB$5:AB37)+1&gt;0,IF(Podsumowanie!E$7&lt;B37,IF(SUM(AB$5:AB37)-Podsumowanie!E$9+1&gt;0,PMT(M37/12,P37+1-SUM(AB$5:AB37),N37),Y37),0),0)</f>
        <v>0</v>
      </c>
      <c r="AA37" s="90">
        <f t="shared" si="22"/>
        <v>0</v>
      </c>
      <c r="AB37" s="8" t="str">
        <f>IF(AND(Podsumowanie!E$7&lt;B37,SUM(AB$5:AB36)&lt;P36),1," ")</f>
        <v xml:space="preserve"> </v>
      </c>
      <c r="AD37" s="10">
        <f>Podsumowanie!E$4-SUM(AF$5:AF36)+SUM(W37:W$42)-SUM(X37:X$42)</f>
        <v>181357.6981355522</v>
      </c>
      <c r="AE37" s="10">
        <f t="shared" si="23"/>
        <v>0</v>
      </c>
      <c r="AF37" s="10">
        <f t="shared" si="24"/>
        <v>0</v>
      </c>
      <c r="AG37" s="10">
        <f t="shared" si="25"/>
        <v>0</v>
      </c>
      <c r="AH37" s="10">
        <f t="shared" si="26"/>
        <v>0</v>
      </c>
      <c r="AI37" s="10">
        <f>Podsumowanie!E$2-SUM(AK$5:AK36)+SUM(R37:R$42)-SUM(S37:S$42)</f>
        <v>400000</v>
      </c>
      <c r="AJ37" s="10">
        <f t="shared" si="27"/>
        <v>0</v>
      </c>
      <c r="AK37" s="10">
        <f t="shared" si="28"/>
        <v>0</v>
      </c>
      <c r="AL37" s="10">
        <f t="shared" si="29"/>
        <v>0</v>
      </c>
      <c r="AM37" s="10">
        <f t="shared" si="30"/>
        <v>0</v>
      </c>
      <c r="AO37" s="43">
        <f t="shared" si="31"/>
        <v>38231</v>
      </c>
      <c r="AP37" s="11">
        <f>AP$5+SUM(AS$5:AS36)-SUM(X$5:X37)+SUM(W$5:W37)</f>
        <v>175916.96719148563</v>
      </c>
      <c r="AQ37" s="10">
        <f t="shared" si="32"/>
        <v>0</v>
      </c>
      <c r="AR37" s="10">
        <f>IF(AB37=1,IF(Q37="tak",AQ37,PMT(M37/12,P37+1-SUM(AB$5:AB37),AP37)),0)</f>
        <v>0</v>
      </c>
      <c r="AS37" s="10">
        <f t="shared" si="33"/>
        <v>0</v>
      </c>
      <c r="AT37" s="10">
        <f t="shared" si="34"/>
        <v>0</v>
      </c>
      <c r="AV37" s="11">
        <f>AV$5+SUM(AX$5:AX36)+SUM(W$5:W36)-SUM(X$5:X36)</f>
        <v>175916.96719148563</v>
      </c>
      <c r="AW37" s="11">
        <f t="shared" si="35"/>
        <v>0</v>
      </c>
      <c r="AX37" s="11">
        <f t="shared" si="36"/>
        <v>0</v>
      </c>
      <c r="AY37" s="11">
        <f t="shared" si="37"/>
        <v>0</v>
      </c>
      <c r="AZ37" s="11">
        <f t="shared" si="38"/>
        <v>0</v>
      </c>
      <c r="BB37" s="191">
        <f t="shared" si="4"/>
        <v>0.0709</v>
      </c>
      <c r="BC37" s="44">
        <f>BB37+Podsumowanie!$E$6</f>
        <v>0.0829</v>
      </c>
      <c r="BD37" s="11">
        <f>BD$5+SUM(BE$5:BE36)+SUM(R$5:R36)-SUM(S$5:S36)</f>
        <v>400000</v>
      </c>
      <c r="BE37" s="10">
        <f t="shared" si="39"/>
        <v>0</v>
      </c>
      <c r="BF37" s="10">
        <f t="shared" si="40"/>
        <v>0</v>
      </c>
      <c r="BG37" s="10">
        <f>IF(U37&lt;0,PMT(BC37/12,Podsumowanie!E$8-SUM(AB$5:AB37)+1,BD37),0)</f>
        <v>0</v>
      </c>
      <c r="BI37" s="11">
        <f>BI$5+SUM(BK$5:BK36)+SUM(R$5:R36)-SUM(S$5:S36)</f>
        <v>400000</v>
      </c>
      <c r="BJ37" s="11">
        <f t="shared" si="5"/>
        <v>0</v>
      </c>
      <c r="BK37" s="11">
        <f t="shared" si="6"/>
        <v>0</v>
      </c>
      <c r="BL37" s="11">
        <f t="shared" si="7"/>
        <v>0</v>
      </c>
      <c r="BN37" s="44">
        <f t="shared" si="8"/>
        <v>0.083</v>
      </c>
      <c r="BO37" s="11">
        <f>BO$5+SUM(BP$5:BP36)+SUM(R$5:R36)-SUM(S$5:S36)+SUM(BS$5:BS36)</f>
        <v>400000</v>
      </c>
      <c r="BP37" s="10">
        <f t="shared" si="46"/>
        <v>0</v>
      </c>
      <c r="BQ37" s="10">
        <f t="shared" si="47"/>
        <v>0</v>
      </c>
      <c r="BR37" s="10">
        <f>IF(U37&lt;0,PMT(BN37/12,Podsumowanie!E$8-SUM(AB$5:AB37)+1,BO37),0)</f>
        <v>0</v>
      </c>
      <c r="BS37" s="10">
        <f t="shared" si="41"/>
        <v>0</v>
      </c>
      <c r="BU37" s="11">
        <f>BU$5+SUM(BW$5:BW36)+SUM(R$5:R36)-SUM(S$5:S36)+SUM(BY$5,BY36)</f>
        <v>400000</v>
      </c>
      <c r="BV37" s="10">
        <f t="shared" si="9"/>
        <v>0</v>
      </c>
      <c r="BW37" s="10">
        <f t="shared" si="10"/>
        <v>0</v>
      </c>
      <c r="BX37" s="10">
        <f t="shared" si="48"/>
        <v>0</v>
      </c>
      <c r="BY37" s="10">
        <f t="shared" si="49"/>
        <v>0</v>
      </c>
      <c r="CA37" s="10">
        <f>CA$5+SUM(CB$5:CB36)+SUM(R$5:R36)-SUM(S$5:S36)-SUM(CC$5:CC36)</f>
        <v>400000</v>
      </c>
      <c r="CB37" s="10">
        <f t="shared" si="42"/>
        <v>0</v>
      </c>
      <c r="CC37" s="10">
        <f t="shared" si="43"/>
        <v>0</v>
      </c>
      <c r="CD37" s="10">
        <f t="shared" si="44"/>
        <v>0</v>
      </c>
      <c r="CF37" s="44">
        <f t="shared" si="11"/>
        <v>0.8595</v>
      </c>
      <c r="CG37" s="10">
        <f t="shared" si="45"/>
        <v>0</v>
      </c>
      <c r="CH37" s="4">
        <f t="shared" si="50"/>
        <v>0</v>
      </c>
    </row>
    <row r="38" spans="1:86" ht="15.75">
      <c r="A38" s="36"/>
      <c r="B38" s="37">
        <v>38261</v>
      </c>
      <c r="C38" s="77">
        <f t="shared" si="1"/>
        <v>2.8032</v>
      </c>
      <c r="D38" s="78">
        <f>C38*(1+Podsumowanie!E$11)</f>
        <v>2.887296</v>
      </c>
      <c r="E38" s="34">
        <f t="shared" si="12"/>
        <v>0</v>
      </c>
      <c r="F38" s="7">
        <f t="shared" si="13"/>
        <v>0</v>
      </c>
      <c r="G38" s="7">
        <f t="shared" si="14"/>
        <v>0</v>
      </c>
      <c r="H38" s="7">
        <f t="shared" si="15"/>
        <v>0</v>
      </c>
      <c r="I38" s="32"/>
      <c r="J38" s="4" t="str">
        <f t="shared" si="16"/>
        <v xml:space="preserve"> </v>
      </c>
      <c r="K38" s="4">
        <f>IF(B38&lt;Podsumowanie!E$7,0,K37+1)</f>
        <v>0</v>
      </c>
      <c r="L38" s="100">
        <f t="shared" si="2"/>
        <v>0.007</v>
      </c>
      <c r="M38" s="38">
        <f>L38+Podsumowanie!E$6</f>
        <v>0.019</v>
      </c>
      <c r="N38" s="101">
        <f>MAX(Podsumowanie!E$4+SUM(AA$5:AA37)-SUM(X$5:X38)+SUM(W$5:W38),0)</f>
        <v>181357.6981355522</v>
      </c>
      <c r="O38" s="102">
        <f>MAX(Podsumowanie!E$2+SUM(V$5:V37)-SUM(S$5:S38)+SUM(R$5:R38),0)</f>
        <v>400000</v>
      </c>
      <c r="P38" s="39">
        <f t="shared" si="17"/>
        <v>360</v>
      </c>
      <c r="Q38" s="40" t="str">
        <f>IF(AND(K38&gt;0,K38&lt;=Podsumowanie!E$9),"tak","nie")</f>
        <v>nie</v>
      </c>
      <c r="R38" s="41"/>
      <c r="S38" s="42"/>
      <c r="T38" s="88">
        <f t="shared" si="18"/>
        <v>0</v>
      </c>
      <c r="U38" s="89">
        <f>IF(Q38="tak",T38,IF(P38-SUM(AB$5:AB38)+1&gt;0,IF(Podsumowanie!E$7&lt;B38,IF(SUM(AB$5:AB38)-Podsumowanie!E$9+1&gt;0,PMT(M38/12,P38+1-SUM(AB$5:AB38),O38),T38),0),0))</f>
        <v>0</v>
      </c>
      <c r="V38" s="89">
        <f t="shared" si="19"/>
        <v>0</v>
      </c>
      <c r="W38" s="90" t="str">
        <f>IF(R38&gt;0,R38/(C38*(1-Podsumowanie!E$11))," ")</f>
        <v xml:space="preserve"> </v>
      </c>
      <c r="X38" s="90" t="str">
        <f t="shared" si="20"/>
        <v xml:space="preserve"> </v>
      </c>
      <c r="Y38" s="91">
        <f t="shared" si="21"/>
        <v>0</v>
      </c>
      <c r="Z38" s="90">
        <f>IF(P38-SUM(AB$5:AB38)+1&gt;0,IF(Podsumowanie!E$7&lt;B38,IF(SUM(AB$5:AB38)-Podsumowanie!E$9+1&gt;0,PMT(M38/12,P38+1-SUM(AB$5:AB38),N38),Y38),0),0)</f>
        <v>0</v>
      </c>
      <c r="AA38" s="90">
        <f t="shared" si="22"/>
        <v>0</v>
      </c>
      <c r="AB38" s="8" t="str">
        <f>IF(AND(Podsumowanie!E$7&lt;B38,SUM(AB$5:AB37)&lt;P37),1," ")</f>
        <v xml:space="preserve"> </v>
      </c>
      <c r="AD38" s="10">
        <f>Podsumowanie!E$4-SUM(AF$5:AF37)+SUM(W38:W$42)-SUM(X38:X$42)</f>
        <v>181357.6981355522</v>
      </c>
      <c r="AE38" s="10">
        <f t="shared" si="23"/>
        <v>0</v>
      </c>
      <c r="AF38" s="10">
        <f t="shared" si="24"/>
        <v>0</v>
      </c>
      <c r="AG38" s="10">
        <f t="shared" si="25"/>
        <v>0</v>
      </c>
      <c r="AH38" s="10">
        <f t="shared" si="26"/>
        <v>0</v>
      </c>
      <c r="AI38" s="10">
        <f>Podsumowanie!E$2-SUM(AK$5:AK37)+SUM(R38:R$42)-SUM(S38:S$42)</f>
        <v>400000</v>
      </c>
      <c r="AJ38" s="10">
        <f t="shared" si="27"/>
        <v>0</v>
      </c>
      <c r="AK38" s="10">
        <f t="shared" si="28"/>
        <v>0</v>
      </c>
      <c r="AL38" s="10">
        <f t="shared" si="29"/>
        <v>0</v>
      </c>
      <c r="AM38" s="10">
        <f t="shared" si="30"/>
        <v>0</v>
      </c>
      <c r="AO38" s="43">
        <f t="shared" si="31"/>
        <v>38261</v>
      </c>
      <c r="AP38" s="11">
        <f>AP$5+SUM(AS$5:AS37)-SUM(X$5:X38)+SUM(W$5:W38)</f>
        <v>175916.96719148563</v>
      </c>
      <c r="AQ38" s="10">
        <f t="shared" si="32"/>
        <v>0</v>
      </c>
      <c r="AR38" s="10">
        <f>IF(AB38=1,IF(Q38="tak",AQ38,PMT(M38/12,P38+1-SUM(AB$5:AB38),AP38)),0)</f>
        <v>0</v>
      </c>
      <c r="AS38" s="10">
        <f t="shared" si="33"/>
        <v>0</v>
      </c>
      <c r="AT38" s="10">
        <f t="shared" si="34"/>
        <v>0</v>
      </c>
      <c r="AV38" s="11">
        <f>AV$5+SUM(AX$5:AX37)+SUM(W$5:W37)-SUM(X$5:X37)</f>
        <v>175916.96719148563</v>
      </c>
      <c r="AW38" s="11">
        <f t="shared" si="35"/>
        <v>0</v>
      </c>
      <c r="AX38" s="11">
        <f t="shared" si="36"/>
        <v>0</v>
      </c>
      <c r="AY38" s="11">
        <f t="shared" si="37"/>
        <v>0</v>
      </c>
      <c r="AZ38" s="11">
        <f t="shared" si="38"/>
        <v>0</v>
      </c>
      <c r="BB38" s="191">
        <f t="shared" si="4"/>
        <v>0.0692</v>
      </c>
      <c r="BC38" s="44">
        <f>BB38+Podsumowanie!$E$6</f>
        <v>0.0812</v>
      </c>
      <c r="BD38" s="11">
        <f>BD$5+SUM(BE$5:BE37)+SUM(R$5:R37)-SUM(S$5:S37)</f>
        <v>400000</v>
      </c>
      <c r="BE38" s="10">
        <f t="shared" si="39"/>
        <v>0</v>
      </c>
      <c r="BF38" s="10">
        <f t="shared" si="40"/>
        <v>0</v>
      </c>
      <c r="BG38" s="10">
        <f>IF(U38&lt;0,PMT(BC38/12,Podsumowanie!E$8-SUM(AB$5:AB38)+1,BD38),0)</f>
        <v>0</v>
      </c>
      <c r="BI38" s="11">
        <f>BI$5+SUM(BK$5:BK37)+SUM(R$5:R37)-SUM(S$5:S37)</f>
        <v>400000</v>
      </c>
      <c r="BJ38" s="11">
        <f t="shared" si="5"/>
        <v>0</v>
      </c>
      <c r="BK38" s="11">
        <f t="shared" si="6"/>
        <v>0</v>
      </c>
      <c r="BL38" s="11">
        <f t="shared" si="7"/>
        <v>0</v>
      </c>
      <c r="BN38" s="44">
        <f t="shared" si="8"/>
        <v>0.0813</v>
      </c>
      <c r="BO38" s="11">
        <f>BO$5+SUM(BP$5:BP37)+SUM(R$5:R37)-SUM(S$5:S37)+SUM(BS$5:BS37)</f>
        <v>400000</v>
      </c>
      <c r="BP38" s="10">
        <f t="shared" si="46"/>
        <v>0</v>
      </c>
      <c r="BQ38" s="10">
        <f t="shared" si="47"/>
        <v>0</v>
      </c>
      <c r="BR38" s="10">
        <f>IF(U38&lt;0,PMT(BN38/12,Podsumowanie!E$8-SUM(AB$5:AB38)+1,BO38),0)</f>
        <v>0</v>
      </c>
      <c r="BS38" s="10">
        <f t="shared" si="41"/>
        <v>0</v>
      </c>
      <c r="BU38" s="11">
        <f>BU$5+SUM(BW$5:BW37)+SUM(R$5:R37)-SUM(S$5:S37)+SUM(BY$5,BY37)</f>
        <v>400000</v>
      </c>
      <c r="BV38" s="10">
        <f t="shared" si="9"/>
        <v>0</v>
      </c>
      <c r="BW38" s="10">
        <f t="shared" si="10"/>
        <v>0</v>
      </c>
      <c r="BX38" s="10">
        <f t="shared" si="48"/>
        <v>0</v>
      </c>
      <c r="BY38" s="10">
        <f t="shared" si="49"/>
        <v>0</v>
      </c>
      <c r="CA38" s="10">
        <f>CA$5+SUM(CB$5:CB37)+SUM(R$5:R37)-SUM(S$5:S37)-SUM(CC$5:CC37)</f>
        <v>400000</v>
      </c>
      <c r="CB38" s="10">
        <f t="shared" si="42"/>
        <v>0</v>
      </c>
      <c r="CC38" s="10">
        <f t="shared" si="43"/>
        <v>0</v>
      </c>
      <c r="CD38" s="10">
        <f t="shared" si="44"/>
        <v>0</v>
      </c>
      <c r="CF38" s="44">
        <f t="shared" si="11"/>
        <v>0.8484</v>
      </c>
      <c r="CG38" s="10">
        <f t="shared" si="45"/>
        <v>0</v>
      </c>
      <c r="CH38" s="4">
        <f t="shared" si="50"/>
        <v>0</v>
      </c>
    </row>
    <row r="39" spans="1:86" ht="15.75">
      <c r="A39" s="36"/>
      <c r="B39" s="37">
        <v>38292</v>
      </c>
      <c r="C39" s="77">
        <f t="shared" si="1"/>
        <v>2.8008</v>
      </c>
      <c r="D39" s="78">
        <f>C39*(1+Podsumowanie!E$11)</f>
        <v>2.884824</v>
      </c>
      <c r="E39" s="34">
        <f t="shared" si="12"/>
        <v>0</v>
      </c>
      <c r="F39" s="7">
        <f t="shared" si="13"/>
        <v>0</v>
      </c>
      <c r="G39" s="7">
        <f t="shared" si="14"/>
        <v>0</v>
      </c>
      <c r="H39" s="7">
        <f t="shared" si="15"/>
        <v>0</v>
      </c>
      <c r="I39" s="32"/>
      <c r="J39" s="4" t="str">
        <f t="shared" si="16"/>
        <v xml:space="preserve"> </v>
      </c>
      <c r="K39" s="4">
        <f>IF(B39&lt;Podsumowanie!E$7,0,K38+1)</f>
        <v>0</v>
      </c>
      <c r="L39" s="100">
        <f t="shared" si="2"/>
        <v>0.007283</v>
      </c>
      <c r="M39" s="38">
        <f>L39+Podsumowanie!E$6</f>
        <v>0.019283</v>
      </c>
      <c r="N39" s="101">
        <f>MAX(Podsumowanie!E$4+SUM(AA$5:AA38)-SUM(X$5:X39)+SUM(W$5:W39),0)</f>
        <v>181357.6981355522</v>
      </c>
      <c r="O39" s="102">
        <f>MAX(Podsumowanie!E$2+SUM(V$5:V38)-SUM(S$5:S39)+SUM(R$5:R39),0)</f>
        <v>400000</v>
      </c>
      <c r="P39" s="39">
        <f t="shared" si="17"/>
        <v>360</v>
      </c>
      <c r="Q39" s="40" t="str">
        <f>IF(AND(K39&gt;0,K39&lt;=Podsumowanie!E$9),"tak","nie")</f>
        <v>nie</v>
      </c>
      <c r="R39" s="41"/>
      <c r="S39" s="42"/>
      <c r="T39" s="88">
        <f t="shared" si="18"/>
        <v>0</v>
      </c>
      <c r="U39" s="89">
        <f>IF(Q39="tak",T39,IF(P39-SUM(AB$5:AB39)+1&gt;0,IF(Podsumowanie!E$7&lt;B39,IF(SUM(AB$5:AB39)-Podsumowanie!E$9+1&gt;0,PMT(M39/12,P39+1-SUM(AB$5:AB39),O39),T39),0),0))</f>
        <v>0</v>
      </c>
      <c r="V39" s="89">
        <f t="shared" si="19"/>
        <v>0</v>
      </c>
      <c r="W39" s="90" t="str">
        <f>IF(R39&gt;0,R39/(C39*(1-Podsumowanie!E$11))," ")</f>
        <v xml:space="preserve"> </v>
      </c>
      <c r="X39" s="90" t="str">
        <f t="shared" si="20"/>
        <v xml:space="preserve"> </v>
      </c>
      <c r="Y39" s="91">
        <f t="shared" si="21"/>
        <v>0</v>
      </c>
      <c r="Z39" s="90">
        <f>IF(P39-SUM(AB$5:AB39)+1&gt;0,IF(Podsumowanie!E$7&lt;B39,IF(SUM(AB$5:AB39)-Podsumowanie!E$9+1&gt;0,PMT(M39/12,P39+1-SUM(AB$5:AB39),N39),Y39),0),0)</f>
        <v>0</v>
      </c>
      <c r="AA39" s="90">
        <f t="shared" si="22"/>
        <v>0</v>
      </c>
      <c r="AB39" s="8" t="str">
        <f>IF(AND(Podsumowanie!E$7&lt;B39,SUM(AB$5:AB38)&lt;P38),1," ")</f>
        <v xml:space="preserve"> </v>
      </c>
      <c r="AD39" s="10">
        <f>Podsumowanie!E$4-SUM(AF$5:AF38)+SUM(W39:W$42)-SUM(X39:X$42)</f>
        <v>181357.6981355522</v>
      </c>
      <c r="AE39" s="10">
        <f t="shared" si="23"/>
        <v>0</v>
      </c>
      <c r="AF39" s="10">
        <f t="shared" si="24"/>
        <v>0</v>
      </c>
      <c r="AG39" s="10">
        <f t="shared" si="25"/>
        <v>0</v>
      </c>
      <c r="AH39" s="10">
        <f t="shared" si="26"/>
        <v>0</v>
      </c>
      <c r="AI39" s="10">
        <f>Podsumowanie!E$2-SUM(AK$5:AK38)+SUM(R39:R$42)-SUM(S39:S$42)</f>
        <v>400000</v>
      </c>
      <c r="AJ39" s="10">
        <f t="shared" si="27"/>
        <v>0</v>
      </c>
      <c r="AK39" s="10">
        <f t="shared" si="28"/>
        <v>0</v>
      </c>
      <c r="AL39" s="10">
        <f t="shared" si="29"/>
        <v>0</v>
      </c>
      <c r="AM39" s="10">
        <f t="shared" si="30"/>
        <v>0</v>
      </c>
      <c r="AO39" s="43">
        <f t="shared" si="31"/>
        <v>38292</v>
      </c>
      <c r="AP39" s="11">
        <f>AP$5+SUM(AS$5:AS38)-SUM(X$5:X39)+SUM(W$5:W39)</f>
        <v>175916.96719148563</v>
      </c>
      <c r="AQ39" s="10">
        <f t="shared" si="32"/>
        <v>0</v>
      </c>
      <c r="AR39" s="10">
        <f>IF(AB39=1,IF(Q39="tak",AQ39,PMT(M39/12,P39+1-SUM(AB$5:AB39),AP39)),0)</f>
        <v>0</v>
      </c>
      <c r="AS39" s="10">
        <f t="shared" si="33"/>
        <v>0</v>
      </c>
      <c r="AT39" s="10">
        <f t="shared" si="34"/>
        <v>0</v>
      </c>
      <c r="AV39" s="11">
        <f>AV$5+SUM(AX$5:AX38)+SUM(W$5:W38)-SUM(X$5:X38)</f>
        <v>175916.96719148563</v>
      </c>
      <c r="AW39" s="11">
        <f t="shared" si="35"/>
        <v>0</v>
      </c>
      <c r="AX39" s="11">
        <f t="shared" si="36"/>
        <v>0</v>
      </c>
      <c r="AY39" s="11">
        <f t="shared" si="37"/>
        <v>0</v>
      </c>
      <c r="AZ39" s="11">
        <f t="shared" si="38"/>
        <v>0</v>
      </c>
      <c r="BB39" s="191">
        <f t="shared" si="4"/>
        <v>0.0684</v>
      </c>
      <c r="BC39" s="44">
        <f>BB39+Podsumowanie!$E$6</f>
        <v>0.0804</v>
      </c>
      <c r="BD39" s="11">
        <f>BD$5+SUM(BE$5:BE38)+SUM(R$5:R38)-SUM(S$5:S38)</f>
        <v>400000</v>
      </c>
      <c r="BE39" s="10">
        <f t="shared" si="39"/>
        <v>0</v>
      </c>
      <c r="BF39" s="10">
        <f t="shared" si="40"/>
        <v>0</v>
      </c>
      <c r="BG39" s="10">
        <f>IF(U39&lt;0,PMT(BC39/12,Podsumowanie!E$8-SUM(AB$5:AB39)+1,BD39),0)</f>
        <v>0</v>
      </c>
      <c r="BI39" s="11">
        <f>BI$5+SUM(BK$5:BK38)+SUM(R$5:R38)-SUM(S$5:S38)</f>
        <v>400000</v>
      </c>
      <c r="BJ39" s="11">
        <f t="shared" si="5"/>
        <v>0</v>
      </c>
      <c r="BK39" s="11">
        <f t="shared" si="6"/>
        <v>0</v>
      </c>
      <c r="BL39" s="11">
        <f t="shared" si="7"/>
        <v>0</v>
      </c>
      <c r="BN39" s="44">
        <f t="shared" si="8"/>
        <v>0.0805</v>
      </c>
      <c r="BO39" s="11">
        <f>BO$5+SUM(BP$5:BP38)+SUM(R$5:R38)-SUM(S$5:S38)+SUM(BS$5:BS38)</f>
        <v>400000</v>
      </c>
      <c r="BP39" s="10">
        <f t="shared" si="46"/>
        <v>0</v>
      </c>
      <c r="BQ39" s="10">
        <f t="shared" si="47"/>
        <v>0</v>
      </c>
      <c r="BR39" s="10">
        <f>IF(U39&lt;0,PMT(BN39/12,Podsumowanie!E$8-SUM(AB$5:AB39)+1,BO39),0)</f>
        <v>0</v>
      </c>
      <c r="BS39" s="10">
        <f t="shared" si="41"/>
        <v>0</v>
      </c>
      <c r="BU39" s="11">
        <f>BU$5+SUM(BW$5:BW38)+SUM(R$5:R38)-SUM(S$5:S38)+SUM(BY$5,BY38)</f>
        <v>400000</v>
      </c>
      <c r="BV39" s="10">
        <f t="shared" si="9"/>
        <v>0</v>
      </c>
      <c r="BW39" s="10">
        <f t="shared" si="10"/>
        <v>0</v>
      </c>
      <c r="BX39" s="10">
        <f t="shared" si="48"/>
        <v>0</v>
      </c>
      <c r="BY39" s="10">
        <f t="shared" si="49"/>
        <v>0</v>
      </c>
      <c r="CA39" s="10">
        <f>CA$5+SUM(CB$5:CB38)+SUM(R$5:R38)-SUM(S$5:S38)-SUM(CC$5:CC38)</f>
        <v>400000</v>
      </c>
      <c r="CB39" s="10">
        <f t="shared" si="42"/>
        <v>0</v>
      </c>
      <c r="CC39" s="10">
        <f t="shared" si="43"/>
        <v>0</v>
      </c>
      <c r="CD39" s="10">
        <f t="shared" si="44"/>
        <v>0</v>
      </c>
      <c r="CF39" s="44">
        <f t="shared" si="11"/>
        <v>0.8429</v>
      </c>
      <c r="CG39" s="10">
        <f t="shared" si="45"/>
        <v>0</v>
      </c>
      <c r="CH39" s="4">
        <f t="shared" si="50"/>
        <v>0</v>
      </c>
    </row>
    <row r="40" spans="1:86" ht="15.75">
      <c r="A40" s="36"/>
      <c r="B40" s="37">
        <v>38322</v>
      </c>
      <c r="C40" s="77">
        <f t="shared" si="1"/>
        <v>2.6987</v>
      </c>
      <c r="D40" s="78">
        <f>C40*(1+Podsumowanie!E$11)</f>
        <v>2.7796610000000004</v>
      </c>
      <c r="E40" s="34">
        <f t="shared" si="12"/>
        <v>0</v>
      </c>
      <c r="F40" s="7">
        <f t="shared" si="13"/>
        <v>0</v>
      </c>
      <c r="G40" s="7">
        <f t="shared" si="14"/>
        <v>0</v>
      </c>
      <c r="H40" s="7">
        <f t="shared" si="15"/>
        <v>0</v>
      </c>
      <c r="I40" s="32"/>
      <c r="J40" s="4" t="str">
        <f t="shared" si="16"/>
        <v xml:space="preserve"> </v>
      </c>
      <c r="K40" s="4">
        <f>IF(B40&lt;Podsumowanie!E$7,0,K39+1)</f>
        <v>0</v>
      </c>
      <c r="L40" s="100">
        <f t="shared" si="2"/>
        <v>0.0073</v>
      </c>
      <c r="M40" s="38">
        <f>L40+Podsumowanie!E$6</f>
        <v>0.0193</v>
      </c>
      <c r="N40" s="101">
        <f>MAX(Podsumowanie!E$4+SUM(AA$5:AA39)-SUM(X$5:X40)+SUM(W$5:W40),0)</f>
        <v>181357.6981355522</v>
      </c>
      <c r="O40" s="102">
        <f>MAX(Podsumowanie!E$2+SUM(V$5:V39)-SUM(S$5:S40)+SUM(R$5:R40),0)</f>
        <v>400000</v>
      </c>
      <c r="P40" s="39">
        <f t="shared" si="17"/>
        <v>360</v>
      </c>
      <c r="Q40" s="40" t="str">
        <f>IF(AND(K40&gt;0,K40&lt;=Podsumowanie!E$9),"tak","nie")</f>
        <v>nie</v>
      </c>
      <c r="R40" s="41"/>
      <c r="S40" s="42"/>
      <c r="T40" s="88">
        <f t="shared" si="18"/>
        <v>0</v>
      </c>
      <c r="U40" s="89">
        <f>IF(Q40="tak",T40,IF(P40-SUM(AB$5:AB40)+1&gt;0,IF(Podsumowanie!E$7&lt;B40,IF(SUM(AB$5:AB40)-Podsumowanie!E$9+1&gt;0,PMT(M40/12,P40+1-SUM(AB$5:AB40),O40),T40),0),0))</f>
        <v>0</v>
      </c>
      <c r="V40" s="89">
        <f t="shared" si="19"/>
        <v>0</v>
      </c>
      <c r="W40" s="90" t="str">
        <f>IF(R40&gt;0,R40/(C40*(1-Podsumowanie!E$11))," ")</f>
        <v xml:space="preserve"> </v>
      </c>
      <c r="X40" s="90" t="str">
        <f t="shared" si="20"/>
        <v xml:space="preserve"> </v>
      </c>
      <c r="Y40" s="91">
        <f t="shared" si="21"/>
        <v>0</v>
      </c>
      <c r="Z40" s="90">
        <f>IF(P40-SUM(AB$5:AB40)+1&gt;0,IF(Podsumowanie!E$7&lt;B40,IF(SUM(AB$5:AB40)-Podsumowanie!E$9+1&gt;0,PMT(M40/12,P40+1-SUM(AB$5:AB40),N40),Y40),0),0)</f>
        <v>0</v>
      </c>
      <c r="AA40" s="90">
        <f t="shared" si="22"/>
        <v>0</v>
      </c>
      <c r="AB40" s="8" t="str">
        <f>IF(AND(Podsumowanie!E$7&lt;B40,SUM(AB$5:AB39)&lt;P39),1," ")</f>
        <v xml:space="preserve"> </v>
      </c>
      <c r="AD40" s="10">
        <f>Podsumowanie!E$4-SUM(AF$5:AF39)+SUM(W40:W$42)-SUM(X40:X$42)</f>
        <v>181357.6981355522</v>
      </c>
      <c r="AE40" s="10">
        <f t="shared" si="23"/>
        <v>0</v>
      </c>
      <c r="AF40" s="10">
        <f t="shared" si="24"/>
        <v>0</v>
      </c>
      <c r="AG40" s="10">
        <f t="shared" si="25"/>
        <v>0</v>
      </c>
      <c r="AH40" s="10">
        <f t="shared" si="26"/>
        <v>0</v>
      </c>
      <c r="AI40" s="10">
        <f>Podsumowanie!E$2-SUM(AK$5:AK39)+SUM(R40:R$42)-SUM(S40:S$42)</f>
        <v>400000</v>
      </c>
      <c r="AJ40" s="10">
        <f t="shared" si="27"/>
        <v>0</v>
      </c>
      <c r="AK40" s="10">
        <f t="shared" si="28"/>
        <v>0</v>
      </c>
      <c r="AL40" s="10">
        <f t="shared" si="29"/>
        <v>0</v>
      </c>
      <c r="AM40" s="10">
        <f t="shared" si="30"/>
        <v>0</v>
      </c>
      <c r="AO40" s="43">
        <f t="shared" si="31"/>
        <v>38322</v>
      </c>
      <c r="AP40" s="11">
        <f>AP$5+SUM(AS$5:AS39)-SUM(X$5:X40)+SUM(W$5:W40)</f>
        <v>175916.96719148563</v>
      </c>
      <c r="AQ40" s="10">
        <f t="shared" si="32"/>
        <v>0</v>
      </c>
      <c r="AR40" s="10">
        <f>IF(AB40=1,IF(Q40="tak",AQ40,PMT(M40/12,P40+1-SUM(AB$5:AB40),AP40)),0)</f>
        <v>0</v>
      </c>
      <c r="AS40" s="10">
        <f t="shared" si="33"/>
        <v>0</v>
      </c>
      <c r="AT40" s="10">
        <f t="shared" si="34"/>
        <v>0</v>
      </c>
      <c r="AV40" s="11">
        <f>AV$5+SUM(AX$5:AX39)+SUM(W$5:W39)-SUM(X$5:X39)</f>
        <v>175916.96719148563</v>
      </c>
      <c r="AW40" s="11">
        <f t="shared" si="35"/>
        <v>0</v>
      </c>
      <c r="AX40" s="11">
        <f t="shared" si="36"/>
        <v>0</v>
      </c>
      <c r="AY40" s="11">
        <f t="shared" si="37"/>
        <v>0</v>
      </c>
      <c r="AZ40" s="11">
        <f t="shared" si="38"/>
        <v>0</v>
      </c>
      <c r="BB40" s="191">
        <f t="shared" si="4"/>
        <v>0.0676</v>
      </c>
      <c r="BC40" s="44">
        <f>BB40+Podsumowanie!$E$6</f>
        <v>0.07959999999999999</v>
      </c>
      <c r="BD40" s="11">
        <f>BD$5+SUM(BE$5:BE39)+SUM(R$5:R39)-SUM(S$5:S39)</f>
        <v>400000</v>
      </c>
      <c r="BE40" s="10">
        <f t="shared" si="39"/>
        <v>0</v>
      </c>
      <c r="BF40" s="10">
        <f t="shared" si="40"/>
        <v>0</v>
      </c>
      <c r="BG40" s="10">
        <f>IF(U40&lt;0,PMT(BC40/12,Podsumowanie!E$8-SUM(AB$5:AB40)+1,BD40),0)</f>
        <v>0</v>
      </c>
      <c r="BI40" s="11">
        <f>BI$5+SUM(BK$5:BK39)+SUM(R$5:R39)-SUM(S$5:S39)</f>
        <v>400000</v>
      </c>
      <c r="BJ40" s="11">
        <f t="shared" si="5"/>
        <v>0</v>
      </c>
      <c r="BK40" s="11">
        <f t="shared" si="6"/>
        <v>0</v>
      </c>
      <c r="BL40" s="11">
        <f t="shared" si="7"/>
        <v>0</v>
      </c>
      <c r="BN40" s="44">
        <f t="shared" si="8"/>
        <v>0.0797</v>
      </c>
      <c r="BO40" s="11">
        <f>BO$5+SUM(BP$5:BP39)+SUM(R$5:R39)-SUM(S$5:S39)+SUM(BS$5:BS39)</f>
        <v>400000</v>
      </c>
      <c r="BP40" s="10">
        <f t="shared" si="46"/>
        <v>0</v>
      </c>
      <c r="BQ40" s="10">
        <f t="shared" si="47"/>
        <v>0</v>
      </c>
      <c r="BR40" s="10">
        <f>IF(U40&lt;0,PMT(BN40/12,Podsumowanie!E$8-SUM(AB$5:AB40)+1,BO40),0)</f>
        <v>0</v>
      </c>
      <c r="BS40" s="10">
        <f t="shared" si="41"/>
        <v>0</v>
      </c>
      <c r="BU40" s="11">
        <f>BU$5+SUM(BW$5:BW39)+SUM(R$5:R39)-SUM(S$5:S39)+SUM(BY$5,BY39)</f>
        <v>400000</v>
      </c>
      <c r="BV40" s="10">
        <f t="shared" si="9"/>
        <v>0</v>
      </c>
      <c r="BW40" s="10">
        <f t="shared" si="10"/>
        <v>0</v>
      </c>
      <c r="BX40" s="10">
        <f t="shared" si="48"/>
        <v>0</v>
      </c>
      <c r="BY40" s="10">
        <f t="shared" si="49"/>
        <v>0</v>
      </c>
      <c r="CA40" s="10">
        <f>CA$5+SUM(CB$5:CB39)+SUM(R$5:R39)-SUM(S$5:S39)-SUM(CC$5:CC39)</f>
        <v>400000</v>
      </c>
      <c r="CB40" s="10">
        <f t="shared" si="42"/>
        <v>0</v>
      </c>
      <c r="CC40" s="10">
        <f t="shared" si="43"/>
        <v>0</v>
      </c>
      <c r="CD40" s="10">
        <f t="shared" si="44"/>
        <v>0</v>
      </c>
      <c r="CF40" s="44">
        <f t="shared" si="11"/>
        <v>0.8411</v>
      </c>
      <c r="CG40" s="10">
        <f t="shared" si="45"/>
        <v>0</v>
      </c>
      <c r="CH40" s="4">
        <f t="shared" si="50"/>
        <v>0</v>
      </c>
    </row>
    <row r="41" spans="1:86" ht="15.75">
      <c r="A41" s="36">
        <v>2005</v>
      </c>
      <c r="B41" s="37">
        <v>38353</v>
      </c>
      <c r="C41" s="77">
        <f t="shared" si="1"/>
        <v>2.639</v>
      </c>
      <c r="D41" s="78">
        <f>C41*(1+Podsumowanie!E$11)</f>
        <v>2.7181699999999998</v>
      </c>
      <c r="E41" s="34">
        <f t="shared" si="12"/>
        <v>0</v>
      </c>
      <c r="F41" s="7">
        <f t="shared" si="13"/>
        <v>0</v>
      </c>
      <c r="G41" s="7">
        <f t="shared" si="14"/>
        <v>0</v>
      </c>
      <c r="H41" s="7">
        <f t="shared" si="15"/>
        <v>0</v>
      </c>
      <c r="I41" s="32"/>
      <c r="J41" s="4" t="str">
        <f t="shared" si="16"/>
        <v xml:space="preserve"> </v>
      </c>
      <c r="K41" s="4">
        <f>IF(B41&lt;Podsumowanie!E$7,0,K40+1)</f>
        <v>0</v>
      </c>
      <c r="L41" s="100">
        <f t="shared" si="2"/>
        <v>0.0071</v>
      </c>
      <c r="M41" s="38">
        <f>L41+Podsumowanie!E$6</f>
        <v>0.0191</v>
      </c>
      <c r="N41" s="101">
        <f>MAX(Podsumowanie!E$4+SUM(AA$5:AA40)-SUM(X$5:X41)+SUM(W$5:W41),0)</f>
        <v>181357.6981355522</v>
      </c>
      <c r="O41" s="102">
        <f>MAX(Podsumowanie!E$2+SUM(V$5:V40)-SUM(S$5:S41)+SUM(R$5:R41),0)</f>
        <v>400000</v>
      </c>
      <c r="P41" s="39">
        <f t="shared" si="17"/>
        <v>360</v>
      </c>
      <c r="Q41" s="40" t="str">
        <f>IF(AND(K41&gt;0,K41&lt;=Podsumowanie!E$9),"tak","nie")</f>
        <v>nie</v>
      </c>
      <c r="R41" s="41"/>
      <c r="S41" s="42"/>
      <c r="T41" s="88">
        <f t="shared" si="18"/>
        <v>0</v>
      </c>
      <c r="U41" s="89">
        <f>IF(Q41="tak",T41,IF(P41-SUM(AB$5:AB41)+1&gt;0,IF(Podsumowanie!E$7&lt;B41,IF(SUM(AB$5:AB41)-Podsumowanie!E$9+1&gt;0,PMT(M41/12,P41+1-SUM(AB$5:AB41),O41),T41),0),0))</f>
        <v>0</v>
      </c>
      <c r="V41" s="89">
        <f t="shared" si="19"/>
        <v>0</v>
      </c>
      <c r="W41" s="90" t="str">
        <f>IF(R41&gt;0,R41/(C41*(1-Podsumowanie!E$11))," ")</f>
        <v xml:space="preserve"> </v>
      </c>
      <c r="X41" s="90" t="str">
        <f t="shared" si="20"/>
        <v xml:space="preserve"> </v>
      </c>
      <c r="Y41" s="91">
        <f t="shared" si="21"/>
        <v>0</v>
      </c>
      <c r="Z41" s="90">
        <f>IF(P41-SUM(AB$5:AB41)+1&gt;0,IF(Podsumowanie!E$7&lt;B41,IF(SUM(AB$5:AB41)-Podsumowanie!E$9+1&gt;0,PMT(M41/12,P41+1-SUM(AB$5:AB41),N41),Y41),0),0)</f>
        <v>0</v>
      </c>
      <c r="AA41" s="90">
        <f t="shared" si="22"/>
        <v>0</v>
      </c>
      <c r="AB41" s="8" t="str">
        <f>IF(AND(Podsumowanie!E$7&lt;B41,SUM(AB$5:AB40)&lt;P40),1," ")</f>
        <v xml:space="preserve"> </v>
      </c>
      <c r="AD41" s="10">
        <f>Podsumowanie!E$4-SUM(AF$5:AF40)+SUM(W41:W$42)-SUM(X41:X$42)</f>
        <v>181357.6981355522</v>
      </c>
      <c r="AE41" s="10">
        <f t="shared" si="23"/>
        <v>0</v>
      </c>
      <c r="AF41" s="10">
        <f t="shared" si="24"/>
        <v>0</v>
      </c>
      <c r="AG41" s="10">
        <f t="shared" si="25"/>
        <v>0</v>
      </c>
      <c r="AH41" s="10">
        <f t="shared" si="26"/>
        <v>0</v>
      </c>
      <c r="AI41" s="10">
        <f>Podsumowanie!E$2-SUM(AK$5:AK40)+SUM(R41:R$42)-SUM(S41:S$42)</f>
        <v>400000</v>
      </c>
      <c r="AJ41" s="10">
        <f t="shared" si="27"/>
        <v>0</v>
      </c>
      <c r="AK41" s="10">
        <f t="shared" si="28"/>
        <v>0</v>
      </c>
      <c r="AL41" s="10">
        <f t="shared" si="29"/>
        <v>0</v>
      </c>
      <c r="AM41" s="10">
        <f t="shared" si="30"/>
        <v>0</v>
      </c>
      <c r="AO41" s="43">
        <f t="shared" si="31"/>
        <v>38353</v>
      </c>
      <c r="AP41" s="11">
        <f>AP$5+SUM(AS$5:AS40)-SUM(X$5:X41)+SUM(W$5:W41)</f>
        <v>175916.96719148563</v>
      </c>
      <c r="AQ41" s="10">
        <f t="shared" si="32"/>
        <v>0</v>
      </c>
      <c r="AR41" s="10">
        <f>IF(AB41=1,IF(Q41="tak",AQ41,PMT(M41/12,P41+1-SUM(AB$5:AB41),AP41)),0)</f>
        <v>0</v>
      </c>
      <c r="AS41" s="10">
        <f t="shared" si="33"/>
        <v>0</v>
      </c>
      <c r="AT41" s="10">
        <f t="shared" si="34"/>
        <v>0</v>
      </c>
      <c r="AV41" s="11">
        <f>AV$5+SUM(AX$5:AX40)+SUM(W$5:W40)-SUM(X$5:X40)</f>
        <v>175916.96719148563</v>
      </c>
      <c r="AW41" s="11">
        <f t="shared" si="35"/>
        <v>0</v>
      </c>
      <c r="AX41" s="11">
        <f t="shared" si="36"/>
        <v>0</v>
      </c>
      <c r="AY41" s="11">
        <f t="shared" si="37"/>
        <v>0</v>
      </c>
      <c r="AZ41" s="11">
        <f t="shared" si="38"/>
        <v>0</v>
      </c>
      <c r="BB41" s="191">
        <f t="shared" si="4"/>
        <v>0.0663</v>
      </c>
      <c r="BC41" s="44">
        <f>BB41+Podsumowanie!$E$6</f>
        <v>0.0783</v>
      </c>
      <c r="BD41" s="11">
        <f>BD$5+SUM(BE$5:BE40)+SUM(R$5:R40)-SUM(S$5:S40)</f>
        <v>400000</v>
      </c>
      <c r="BE41" s="10">
        <f t="shared" si="39"/>
        <v>0</v>
      </c>
      <c r="BF41" s="10">
        <f t="shared" si="40"/>
        <v>0</v>
      </c>
      <c r="BG41" s="10">
        <f>IF(U41&lt;0,PMT(BC41/12,Podsumowanie!E$8-SUM(AB$5:AB41)+1,BD41),0)</f>
        <v>0</v>
      </c>
      <c r="BI41" s="11">
        <f>BI$5+SUM(BK$5:BK40)+SUM(R$5:R40)-SUM(S$5:S40)</f>
        <v>400000</v>
      </c>
      <c r="BJ41" s="11">
        <f t="shared" si="5"/>
        <v>0</v>
      </c>
      <c r="BK41" s="11">
        <f t="shared" si="6"/>
        <v>0</v>
      </c>
      <c r="BL41" s="11">
        <f t="shared" si="7"/>
        <v>0</v>
      </c>
      <c r="BN41" s="44">
        <f t="shared" si="8"/>
        <v>0.0784</v>
      </c>
      <c r="BO41" s="11">
        <f>BO$5+SUM(BP$5:BP40)+SUM(R$5:R40)-SUM(S$5:S40)+SUM(BS$5:BS40)</f>
        <v>400000</v>
      </c>
      <c r="BP41" s="10">
        <f t="shared" si="46"/>
        <v>0</v>
      </c>
      <c r="BQ41" s="10">
        <f t="shared" si="47"/>
        <v>0</v>
      </c>
      <c r="BR41" s="10">
        <f>IF(U41&lt;0,PMT(BN41/12,Podsumowanie!E$8-SUM(AB$5:AB41)+1,BO41),0)</f>
        <v>0</v>
      </c>
      <c r="BS41" s="10">
        <f t="shared" si="41"/>
        <v>0</v>
      </c>
      <c r="BU41" s="11">
        <f>BU$5+SUM(BW$5:BW40)+SUM(R$5:R40)-SUM(S$5:S40)+SUM(BY$5,BY40)</f>
        <v>400000</v>
      </c>
      <c r="BV41" s="10">
        <f t="shared" si="9"/>
        <v>0</v>
      </c>
      <c r="BW41" s="10">
        <f t="shared" si="10"/>
        <v>0</v>
      </c>
      <c r="BX41" s="10">
        <f t="shared" si="48"/>
        <v>0</v>
      </c>
      <c r="BY41" s="10">
        <f t="shared" si="49"/>
        <v>0</v>
      </c>
      <c r="CA41" s="10">
        <f>CA$5+SUM(CB$5:CB40)+SUM(R$5:R40)-SUM(S$5:S40)-SUM(CC$5:CC40)</f>
        <v>400000</v>
      </c>
      <c r="CB41" s="10">
        <f t="shared" si="42"/>
        <v>0</v>
      </c>
      <c r="CC41" s="10">
        <f t="shared" si="43"/>
        <v>0</v>
      </c>
      <c r="CD41" s="10">
        <f t="shared" si="44"/>
        <v>0</v>
      </c>
      <c r="CF41" s="44">
        <f t="shared" si="11"/>
        <v>0.8392</v>
      </c>
      <c r="CG41" s="10">
        <f t="shared" si="45"/>
        <v>0</v>
      </c>
      <c r="CH41" s="4">
        <f t="shared" si="50"/>
        <v>0</v>
      </c>
    </row>
    <row r="42" spans="1:86" ht="15.75">
      <c r="A42" s="36"/>
      <c r="B42" s="37">
        <v>38384</v>
      </c>
      <c r="C42" s="77">
        <f t="shared" si="1"/>
        <v>2.5698</v>
      </c>
      <c r="D42" s="78">
        <f>C42*(1+Podsumowanie!E$11)</f>
        <v>2.646894</v>
      </c>
      <c r="E42" s="34">
        <f t="shared" si="12"/>
        <v>0</v>
      </c>
      <c r="F42" s="7">
        <f t="shared" si="13"/>
        <v>0</v>
      </c>
      <c r="G42" s="7">
        <f t="shared" si="14"/>
        <v>0</v>
      </c>
      <c r="H42" s="7">
        <f t="shared" si="15"/>
        <v>0</v>
      </c>
      <c r="I42" s="32"/>
      <c r="J42" s="4" t="str">
        <f t="shared" si="16"/>
        <v xml:space="preserve"> </v>
      </c>
      <c r="K42" s="4">
        <f>IF(B42&lt;Podsumowanie!E$7,0,K41+1)</f>
        <v>0</v>
      </c>
      <c r="L42" s="100">
        <f t="shared" si="2"/>
        <v>0.0075</v>
      </c>
      <c r="M42" s="38">
        <f>L42+Podsumowanie!E$6</f>
        <v>0.0195</v>
      </c>
      <c r="N42" s="101">
        <f>MAX(Podsumowanie!E$4+SUM(AA$5:AA41)-SUM(X$5:X42)+SUM(W$5:W42),0)</f>
        <v>181357.6981355522</v>
      </c>
      <c r="O42" s="102">
        <f>MAX(Podsumowanie!E$2+SUM(V$5:V41)-SUM(S$5:S42)+SUM(R$5:R42),0)</f>
        <v>400000</v>
      </c>
      <c r="P42" s="39">
        <f t="shared" si="17"/>
        <v>360</v>
      </c>
      <c r="Q42" s="40" t="str">
        <f>IF(AND(K42&gt;0,K42&lt;=Podsumowanie!E$9),"tak","nie")</f>
        <v>nie</v>
      </c>
      <c r="R42" s="41"/>
      <c r="S42" s="42"/>
      <c r="T42" s="88">
        <f t="shared" si="18"/>
        <v>0</v>
      </c>
      <c r="U42" s="89">
        <f>IF(Q42="tak",T42,IF(P42-SUM(AB$5:AB42)+1&gt;0,IF(Podsumowanie!E$7&lt;B42,IF(SUM(AB$5:AB42)-Podsumowanie!E$9+1&gt;0,PMT(M42/12,P42+1-SUM(AB$5:AB42),O42),T42),0),0))</f>
        <v>0</v>
      </c>
      <c r="V42" s="89">
        <f t="shared" si="19"/>
        <v>0</v>
      </c>
      <c r="W42" s="90" t="str">
        <f>IF(R42&gt;0,R42/(C42*(1-Podsumowanie!E$11))," ")</f>
        <v xml:space="preserve"> </v>
      </c>
      <c r="X42" s="90" t="str">
        <f t="shared" si="20"/>
        <v xml:space="preserve"> </v>
      </c>
      <c r="Y42" s="91">
        <f t="shared" si="21"/>
        <v>0</v>
      </c>
      <c r="Z42" s="90">
        <f>IF(P42-SUM(AB$5:AB42)+1&gt;0,IF(Podsumowanie!E$7&lt;B42,IF(SUM(AB$5:AB42)-Podsumowanie!E$9+1&gt;0,PMT(M42/12,P42+1-SUM(AB$5:AB42),N42),Y42),0),0)</f>
        <v>0</v>
      </c>
      <c r="AA42" s="90">
        <f t="shared" si="22"/>
        <v>0</v>
      </c>
      <c r="AB42" s="8" t="str">
        <f>IF(AND(Podsumowanie!E$7&lt;B42,SUM(AB$5:AB41)&lt;P41),1," ")</f>
        <v xml:space="preserve"> </v>
      </c>
      <c r="AD42" s="10">
        <f>Podsumowanie!E$4-SUM(AF$5:AF41)+SUM(W$42:W42)-SUM(X$42:X42)</f>
        <v>181357.6981355522</v>
      </c>
      <c r="AE42" s="10">
        <f t="shared" si="23"/>
        <v>0</v>
      </c>
      <c r="AF42" s="10">
        <f t="shared" si="24"/>
        <v>0</v>
      </c>
      <c r="AG42" s="10">
        <f t="shared" si="25"/>
        <v>0</v>
      </c>
      <c r="AH42" s="10">
        <f t="shared" si="26"/>
        <v>0</v>
      </c>
      <c r="AI42" s="10">
        <f>Podsumowanie!E$2-SUM(AK$5:AK41)+SUM(R$42:R42)-SUM(S$42:S42)</f>
        <v>400000</v>
      </c>
      <c r="AJ42" s="10">
        <f t="shared" si="27"/>
        <v>0</v>
      </c>
      <c r="AK42" s="10">
        <f t="shared" si="28"/>
        <v>0</v>
      </c>
      <c r="AL42" s="10">
        <f t="shared" si="29"/>
        <v>0</v>
      </c>
      <c r="AM42" s="10">
        <f t="shared" si="30"/>
        <v>0</v>
      </c>
      <c r="AO42" s="43">
        <f t="shared" si="31"/>
        <v>38384</v>
      </c>
      <c r="AP42" s="11">
        <f>AP$5+SUM(AS$5:AS41)-SUM(X$5:X42)+SUM(W$5:W42)</f>
        <v>175916.96719148563</v>
      </c>
      <c r="AQ42" s="10">
        <f t="shared" si="32"/>
        <v>0</v>
      </c>
      <c r="AR42" s="10">
        <f>IF(AB42=1,IF(Q42="tak",AQ42,PMT(M42/12,P42+1-SUM(AB$5:AB42),AP42)),0)</f>
        <v>0</v>
      </c>
      <c r="AS42" s="10">
        <f t="shared" si="33"/>
        <v>0</v>
      </c>
      <c r="AT42" s="10">
        <f t="shared" si="34"/>
        <v>0</v>
      </c>
      <c r="AV42" s="11">
        <f>AV$5+SUM(AX$5:AX41)+SUM(W$5:W41)-SUM(X$5:X41)</f>
        <v>175916.96719148563</v>
      </c>
      <c r="AW42" s="11">
        <f t="shared" si="35"/>
        <v>0</v>
      </c>
      <c r="AX42" s="11">
        <f t="shared" si="36"/>
        <v>0</v>
      </c>
      <c r="AY42" s="11">
        <f t="shared" si="37"/>
        <v>0</v>
      </c>
      <c r="AZ42" s="11">
        <f t="shared" si="38"/>
        <v>0</v>
      </c>
      <c r="BB42" s="191">
        <f t="shared" si="4"/>
        <v>0.0654</v>
      </c>
      <c r="BC42" s="44">
        <f>BB42+Podsumowanie!$E$6</f>
        <v>0.0774</v>
      </c>
      <c r="BD42" s="11">
        <f>BD$5+SUM(BE$5:BE41)+SUM(R$5:R41)-SUM(S$5:S41)</f>
        <v>400000</v>
      </c>
      <c r="BE42" s="10">
        <f t="shared" si="39"/>
        <v>0</v>
      </c>
      <c r="BF42" s="10">
        <f t="shared" si="40"/>
        <v>0</v>
      </c>
      <c r="BG42" s="10">
        <f>IF(U42&lt;0,PMT(BC42/12,Podsumowanie!E$8-SUM(AB$5:AB42)+1,BD42),0)</f>
        <v>0</v>
      </c>
      <c r="BI42" s="11">
        <f>BI$5+SUM(BK$5:BK41)+SUM(R$5:R41)-SUM(S$5:S41)</f>
        <v>400000</v>
      </c>
      <c r="BJ42" s="11">
        <f t="shared" si="5"/>
        <v>0</v>
      </c>
      <c r="BK42" s="11">
        <f t="shared" si="6"/>
        <v>0</v>
      </c>
      <c r="BL42" s="11">
        <f t="shared" si="7"/>
        <v>0</v>
      </c>
      <c r="BN42" s="44">
        <f t="shared" si="8"/>
        <v>0.0775</v>
      </c>
      <c r="BO42" s="11">
        <f>BO$5+SUM(BP$5:BP41)+SUM(R$5:R41)-SUM(S$5:S41)+SUM(BS$5:BS41)</f>
        <v>400000</v>
      </c>
      <c r="BP42" s="10">
        <f t="shared" si="46"/>
        <v>0</v>
      </c>
      <c r="BQ42" s="10">
        <f t="shared" si="47"/>
        <v>0</v>
      </c>
      <c r="BR42" s="10">
        <f>IF(U42&lt;0,PMT(BN42/12,Podsumowanie!E$8-SUM(AB$5:AB42)+1,BO42),0)</f>
        <v>0</v>
      </c>
      <c r="BS42" s="10">
        <f t="shared" si="41"/>
        <v>0</v>
      </c>
      <c r="BU42" s="11">
        <f>BU$5+SUM(BW$5:BW41)+SUM(R$5:R41)-SUM(S$5:S41)+SUM(BY$5,BY41)</f>
        <v>400000</v>
      </c>
      <c r="BV42" s="10">
        <f t="shared" si="9"/>
        <v>0</v>
      </c>
      <c r="BW42" s="10">
        <f t="shared" si="10"/>
        <v>0</v>
      </c>
      <c r="BX42" s="10">
        <f t="shared" si="48"/>
        <v>0</v>
      </c>
      <c r="BY42" s="10">
        <f t="shared" si="49"/>
        <v>0</v>
      </c>
      <c r="CA42" s="10">
        <f>CA$5+SUM(CB$5:CB41)+SUM(R$5:R41)-SUM(S$5:S41)-SUM(CC$5:CC41)</f>
        <v>400000</v>
      </c>
      <c r="CB42" s="10">
        <f t="shared" si="42"/>
        <v>0</v>
      </c>
      <c r="CC42" s="10">
        <f t="shared" si="43"/>
        <v>0</v>
      </c>
      <c r="CD42" s="10">
        <f t="shared" si="44"/>
        <v>0</v>
      </c>
      <c r="CF42" s="44">
        <f t="shared" si="11"/>
        <v>0.8411</v>
      </c>
      <c r="CG42" s="10">
        <f t="shared" si="45"/>
        <v>0</v>
      </c>
      <c r="CH42" s="4">
        <f t="shared" si="50"/>
        <v>0</v>
      </c>
    </row>
    <row r="43" spans="1:86" ht="15.75">
      <c r="A43" s="45"/>
      <c r="B43" s="37">
        <v>38412</v>
      </c>
      <c r="C43" s="77">
        <f t="shared" si="1"/>
        <v>2.5945</v>
      </c>
      <c r="D43" s="78">
        <f>C43*(1+Podsumowanie!E$11)</f>
        <v>2.672335</v>
      </c>
      <c r="E43" s="34">
        <f aca="true" t="shared" si="51" ref="E43:E105">Z43</f>
        <v>0</v>
      </c>
      <c r="F43" s="7">
        <f aca="true" t="shared" si="52" ref="F43:F53">E43*D43</f>
        <v>0</v>
      </c>
      <c r="G43" s="7">
        <f aca="true" t="shared" si="53" ref="G43:G105">U43</f>
        <v>0</v>
      </c>
      <c r="H43" s="7">
        <f aca="true" t="shared" si="54" ref="H43:H53">G43-F43</f>
        <v>0</v>
      </c>
      <c r="I43" s="32"/>
      <c r="J43" s="4" t="str">
        <f aca="true" t="shared" si="55" ref="J43:J72">IF(H43&lt;0,"Ze względu na spadek kursu CHF, rata jest korzystniejsza niż bez klauzuli indeksacyjnej"," ")</f>
        <v xml:space="preserve"> </v>
      </c>
      <c r="K43" s="4">
        <f>IF(B43&lt;Podsumowanie!E$7,0,K42+1)</f>
        <v>0</v>
      </c>
      <c r="L43" s="100">
        <f t="shared" si="2"/>
        <v>0.007583</v>
      </c>
      <c r="M43" s="38">
        <f>L43+Podsumowanie!E$6</f>
        <v>0.019583</v>
      </c>
      <c r="N43" s="101">
        <f>MAX(Podsumowanie!E$4+SUM(AA$5:AA42)-SUM(X$5:X43)+SUM(W$5:W43),0)</f>
        <v>181357.6981355522</v>
      </c>
      <c r="O43" s="102">
        <f>MAX(Podsumowanie!E$2+SUM(V$5:V42)-SUM(S$5:S43)+SUM(R$5:R43),0)</f>
        <v>400000</v>
      </c>
      <c r="P43" s="39">
        <f aca="true" t="shared" si="56" ref="P43:P106">P42</f>
        <v>360</v>
      </c>
      <c r="Q43" s="40" t="str">
        <f>IF(AND(K43&gt;0,K43&lt;=Podsumowanie!E$9),"tak","nie")</f>
        <v>nie</v>
      </c>
      <c r="R43" s="41"/>
      <c r="S43" s="42"/>
      <c r="T43" s="88">
        <f aca="true" t="shared" si="57" ref="T43:T105">IF(AB43=1,-O43*M43/12,0)</f>
        <v>0</v>
      </c>
      <c r="U43" s="89">
        <f>IF(Q43="tak",T43,IF(P43-SUM(AB$5:AB43)+1&gt;0,IF(Podsumowanie!E$7&lt;B43,IF(SUM(AB$5:AB43)-Podsumowanie!E$9+1&gt;0,PMT(M43/12,P43+1-SUM(AB$5:AB43),O43),T43),0),0))</f>
        <v>0</v>
      </c>
      <c r="V43" s="89">
        <f aca="true" t="shared" si="58" ref="V43:V56">U43-T43</f>
        <v>0</v>
      </c>
      <c r="W43" s="90" t="str">
        <f>IF(R43&gt;0,R43/(C43*(1-Podsumowanie!E$11))," ")</f>
        <v xml:space="preserve"> </v>
      </c>
      <c r="X43" s="90" t="str">
        <f aca="true" t="shared" si="59" ref="X43:X72">IF(S43&gt;0,S43/D43," ")</f>
        <v xml:space="preserve"> </v>
      </c>
      <c r="Y43" s="91">
        <f t="shared" si="3"/>
        <v>0</v>
      </c>
      <c r="Z43" s="90">
        <f>IF(P43-SUM(AB$5:AB43)+1&gt;0,IF(Podsumowanie!E$7&lt;B43,IF(SUM(AB$5:AB43)-Podsumowanie!E$9+1&gt;0,PMT(M43/12,P43+1-SUM(AB$5:AB43),N43),Y43),0),0)</f>
        <v>0</v>
      </c>
      <c r="AA43" s="90">
        <f aca="true" t="shared" si="60" ref="AA43:AA51">Z43-Y43</f>
        <v>0</v>
      </c>
      <c r="AB43" s="8" t="str">
        <f>IF(AND(Podsumowanie!E$7&lt;B43,SUM(AB$5:AB42)&lt;P42),1," ")</f>
        <v xml:space="preserve"> </v>
      </c>
      <c r="AD43" s="10">
        <f>Podsumowanie!E$4-SUM(AF$5:AF42)+SUM(W$42:W43)-SUM(X$42:X43)</f>
        <v>181357.6981355522</v>
      </c>
      <c r="AE43" s="10">
        <f aca="true" t="shared" si="61" ref="AE43:AE105">IF(AB43=1,ROUND(AD43*M43/12,2),0)</f>
        <v>0</v>
      </c>
      <c r="AF43" s="10">
        <f aca="true" t="shared" si="62" ref="AF43:AF105">IF(Q43="tak",0,IF(AB43=1,ROUND(AD43/(P43-K43+1),2),0))</f>
        <v>0</v>
      </c>
      <c r="AG43" s="10">
        <f aca="true" t="shared" si="63" ref="AG43:AG106">AF43+AE43</f>
        <v>0</v>
      </c>
      <c r="AH43" s="10">
        <f aca="true" t="shared" si="64" ref="AH43:AH72">ROUND(AG43*D43,2)</f>
        <v>0</v>
      </c>
      <c r="AI43" s="10">
        <f>Podsumowanie!E$2-SUM(AK$5:AK42)+SUM(R$42:R43)-SUM(S$42:S43)</f>
        <v>400000</v>
      </c>
      <c r="AJ43" s="10">
        <f aca="true" t="shared" si="65" ref="AJ43:AJ105">IF(AB43=1,ROUND(AI43*M43/12,2),0)</f>
        <v>0</v>
      </c>
      <c r="AK43" s="10">
        <f aca="true" t="shared" si="66" ref="AK43:AK105">IF(Q43="tak",0,IF(AB43=1,ROUND(AI43/(P43-K43+1),2),0))</f>
        <v>0</v>
      </c>
      <c r="AL43" s="10">
        <f aca="true" t="shared" si="67" ref="AL43:AL105">AK43+AJ43</f>
        <v>0</v>
      </c>
      <c r="AM43" s="10">
        <f aca="true" t="shared" si="68" ref="AM43:AM105">AH43-AL43</f>
        <v>0</v>
      </c>
      <c r="AO43" s="43">
        <f aca="true" t="shared" si="69" ref="AO43:AO72">B43</f>
        <v>38412</v>
      </c>
      <c r="AP43" s="11">
        <f>AP$5+SUM(AS$5:AS42)-SUM(X$5:X43)+SUM(W$5:W43)</f>
        <v>175916.96719148563</v>
      </c>
      <c r="AQ43" s="10">
        <f aca="true" t="shared" si="70" ref="AQ43:AQ105">IF(AB43=1,-AP43*M43/12,0)</f>
        <v>0</v>
      </c>
      <c r="AR43" s="10">
        <f>IF(AB43=1,IF(Q43="tak",AQ43,PMT(M43/12,P43+1-SUM(AB$5:AB43),AP43)),0)</f>
        <v>0</v>
      </c>
      <c r="AS43" s="10">
        <f aca="true" t="shared" si="71" ref="AS43:AS105">AR43-AQ43</f>
        <v>0</v>
      </c>
      <c r="AT43" s="10">
        <f aca="true" t="shared" si="72" ref="AT43:AT105">AR43*C43</f>
        <v>0</v>
      </c>
      <c r="AV43" s="11">
        <f>AV$5+SUM(AX$5:AX42)+SUM(W$5:W42)-SUM(X$5:X42)</f>
        <v>175916.96719148563</v>
      </c>
      <c r="AW43" s="11">
        <f aca="true" t="shared" si="73" ref="AW43:AW105">IF(AB43=1,-AP43*M43/12,0)</f>
        <v>0</v>
      </c>
      <c r="AX43" s="11">
        <f aca="true" t="shared" si="74" ref="AX43:AX105">IF(AB43=1,IF(Q43="tak",0,ROUND(-AV43/(P43-K43+1),2)),0)</f>
        <v>0</v>
      </c>
      <c r="AY43" s="11">
        <f aca="true" t="shared" si="75" ref="AY43:AY105">AX43+AW43</f>
        <v>0</v>
      </c>
      <c r="AZ43" s="11">
        <f aca="true" t="shared" si="76" ref="AZ43:AZ72">AY43*C43</f>
        <v>0</v>
      </c>
      <c r="BB43" s="191">
        <f t="shared" si="4"/>
        <v>0.0615</v>
      </c>
      <c r="BC43" s="44">
        <f>BB43+Podsumowanie!$E$6</f>
        <v>0.0735</v>
      </c>
      <c r="BD43" s="11">
        <f>BD$5+SUM(BE$5:BE42)+SUM(R$5:R42)-SUM(S$5:S42)</f>
        <v>400000</v>
      </c>
      <c r="BE43" s="10">
        <f aca="true" t="shared" si="77" ref="BE43:BE51">IF(BG43&lt;0,BG43-BF43,0)</f>
        <v>0</v>
      </c>
      <c r="BF43" s="10">
        <f aca="true" t="shared" si="78" ref="BF43:BF105">IF(BG43&lt;0,-BD43*BC43/12,0)</f>
        <v>0</v>
      </c>
      <c r="BG43" s="10">
        <f>IF(U43&lt;0,PMT(BC43/12,Podsumowanie!E$8-SUM(AB$5:AB43)+1,BD43),0)</f>
        <v>0</v>
      </c>
      <c r="BI43" s="11">
        <f>BI$5+SUM(BK$5:BK42)+SUM(R$5:R42)-SUM(S$5:S42)</f>
        <v>400000</v>
      </c>
      <c r="BJ43" s="11">
        <f t="shared" si="5"/>
        <v>0</v>
      </c>
      <c r="BK43" s="11">
        <f t="shared" si="6"/>
        <v>0</v>
      </c>
      <c r="BL43" s="11">
        <f t="shared" si="7"/>
        <v>0</v>
      </c>
      <c r="BN43" s="44">
        <f t="shared" si="8"/>
        <v>0.0736</v>
      </c>
      <c r="BO43" s="11">
        <f>BO$5+SUM(BP$5:BP42)+SUM(R$5:R42)-SUM(S$5:S42)+SUM(BS$5:BS42)</f>
        <v>400000</v>
      </c>
      <c r="BP43" s="10">
        <f t="shared" si="46"/>
        <v>0</v>
      </c>
      <c r="BQ43" s="10">
        <f t="shared" si="47"/>
        <v>0</v>
      </c>
      <c r="BR43" s="10">
        <f>IF(U43&lt;0,PMT(BN43/12,Podsumowanie!E$8-SUM(AB$5:AB43)+1,BO43),0)</f>
        <v>0</v>
      </c>
      <c r="BS43" s="10">
        <f t="shared" si="41"/>
        <v>0</v>
      </c>
      <c r="BU43" s="11">
        <f>BU$5+SUM(BW$5:BW42)+SUM(R$5:R42)-SUM(S$5:S42)+SUM(BY$5,BY42)</f>
        <v>400000</v>
      </c>
      <c r="BV43" s="10">
        <f t="shared" si="9"/>
        <v>0</v>
      </c>
      <c r="BW43" s="10">
        <f t="shared" si="10"/>
        <v>0</v>
      </c>
      <c r="BX43" s="10">
        <f t="shared" si="48"/>
        <v>0</v>
      </c>
      <c r="BY43" s="10">
        <f t="shared" si="49"/>
        <v>0</v>
      </c>
      <c r="CA43" s="10">
        <f>CA$5+SUM(CB$5:CB42)+SUM(R$5:R42)-SUM(S$5:S42)-SUM(CC$5:CC42)</f>
        <v>400000</v>
      </c>
      <c r="CB43" s="10">
        <f t="shared" si="42"/>
        <v>0</v>
      </c>
      <c r="CC43" s="10">
        <f t="shared" si="43"/>
        <v>0</v>
      </c>
      <c r="CD43" s="10">
        <f t="shared" si="44"/>
        <v>0</v>
      </c>
      <c r="CF43" s="44">
        <f t="shared" si="11"/>
        <v>0.8392</v>
      </c>
      <c r="CG43" s="10">
        <f t="shared" si="45"/>
        <v>0</v>
      </c>
      <c r="CH43" s="4">
        <f t="shared" si="50"/>
        <v>0</v>
      </c>
    </row>
    <row r="44" spans="1:86" ht="15.75">
      <c r="A44" s="36"/>
      <c r="B44" s="37">
        <v>38443</v>
      </c>
      <c r="C44" s="77">
        <f t="shared" si="1"/>
        <v>2.6821</v>
      </c>
      <c r="D44" s="78">
        <f>C44*(1+Podsumowanie!E$11)</f>
        <v>2.762563</v>
      </c>
      <c r="E44" s="34">
        <f t="shared" si="51"/>
        <v>0</v>
      </c>
      <c r="F44" s="7">
        <f t="shared" si="52"/>
        <v>0</v>
      </c>
      <c r="G44" s="7">
        <f t="shared" si="53"/>
        <v>0</v>
      </c>
      <c r="H44" s="7">
        <f t="shared" si="54"/>
        <v>0</v>
      </c>
      <c r="I44" s="32"/>
      <c r="J44" s="4" t="str">
        <f t="shared" si="55"/>
        <v xml:space="preserve"> </v>
      </c>
      <c r="K44" s="4">
        <f>IF(B44&lt;Podsumowanie!E$7,0,K43+1)</f>
        <v>0</v>
      </c>
      <c r="L44" s="100">
        <f t="shared" si="2"/>
        <v>0.0077</v>
      </c>
      <c r="M44" s="38">
        <f>L44+Podsumowanie!E$6</f>
        <v>0.019700000000000002</v>
      </c>
      <c r="N44" s="101">
        <f>MAX(Podsumowanie!E$4+SUM(AA$5:AA43)-SUM(X$5:X44)+SUM(W$5:W44),0)</f>
        <v>181357.6981355522</v>
      </c>
      <c r="O44" s="102">
        <f>MAX(Podsumowanie!E$2+SUM(V$5:V43)-SUM(S$5:S44)+SUM(R$5:R44),0)</f>
        <v>400000</v>
      </c>
      <c r="P44" s="39">
        <f t="shared" si="56"/>
        <v>360</v>
      </c>
      <c r="Q44" s="40" t="str">
        <f>IF(AND(K44&gt;0,K44&lt;=Podsumowanie!E$9),"tak","nie")</f>
        <v>nie</v>
      </c>
      <c r="R44" s="41"/>
      <c r="S44" s="42"/>
      <c r="T44" s="88">
        <f t="shared" si="57"/>
        <v>0</v>
      </c>
      <c r="U44" s="89">
        <f>IF(Q44="tak",T44,IF(P44-SUM(AB$5:AB44)+1&gt;0,IF(Podsumowanie!E$7&lt;B44,IF(SUM(AB$5:AB44)-Podsumowanie!E$9+1&gt;0,PMT(M44/12,P44+1-SUM(AB$5:AB44),O44),T44),0),0))</f>
        <v>0</v>
      </c>
      <c r="V44" s="89">
        <f t="shared" si="58"/>
        <v>0</v>
      </c>
      <c r="W44" s="90" t="str">
        <f>IF(R44&gt;0,R44/(C44*(1-Podsumowanie!E$11))," ")</f>
        <v xml:space="preserve"> </v>
      </c>
      <c r="X44" s="90" t="str">
        <f t="shared" si="59"/>
        <v xml:space="preserve"> </v>
      </c>
      <c r="Y44" s="91">
        <f t="shared" si="3"/>
        <v>0</v>
      </c>
      <c r="Z44" s="90">
        <f>IF(P44-SUM(AB$5:AB44)+1&gt;0,IF(Podsumowanie!E$7&lt;B44,IF(SUM(AB$5:AB44)-Podsumowanie!E$9+1&gt;0,PMT(M44/12,P44+1-SUM(AB$5:AB44),N44),Y44),0),0)</f>
        <v>0</v>
      </c>
      <c r="AA44" s="90">
        <f t="shared" si="60"/>
        <v>0</v>
      </c>
      <c r="AB44" s="8" t="str">
        <f>IF(AND(Podsumowanie!E$7&lt;B44,SUM(AB$5:AB43)&lt;P43),1," ")</f>
        <v xml:space="preserve"> </v>
      </c>
      <c r="AD44" s="10">
        <f>Podsumowanie!E$4-SUM(AF$5:AF43)+SUM(W$42:W44)-SUM(X$42:X44)</f>
        <v>181357.6981355522</v>
      </c>
      <c r="AE44" s="10">
        <f t="shared" si="61"/>
        <v>0</v>
      </c>
      <c r="AF44" s="10">
        <f t="shared" si="62"/>
        <v>0</v>
      </c>
      <c r="AG44" s="10">
        <f t="shared" si="63"/>
        <v>0</v>
      </c>
      <c r="AH44" s="10">
        <f t="shared" si="64"/>
        <v>0</v>
      </c>
      <c r="AI44" s="10">
        <f>Podsumowanie!E$2-SUM(AK$5:AK43)+SUM(R$42:R44)-SUM(S$42:S44)</f>
        <v>400000</v>
      </c>
      <c r="AJ44" s="10">
        <f t="shared" si="65"/>
        <v>0</v>
      </c>
      <c r="AK44" s="10">
        <f t="shared" si="66"/>
        <v>0</v>
      </c>
      <c r="AL44" s="10">
        <f t="shared" si="67"/>
        <v>0</v>
      </c>
      <c r="AM44" s="10">
        <f t="shared" si="68"/>
        <v>0</v>
      </c>
      <c r="AO44" s="43">
        <f t="shared" si="69"/>
        <v>38443</v>
      </c>
      <c r="AP44" s="11">
        <f>AP$5+SUM(AS$5:AS43)-SUM(X$5:X44)+SUM(W$5:W44)</f>
        <v>175916.96719148563</v>
      </c>
      <c r="AQ44" s="10">
        <f t="shared" si="70"/>
        <v>0</v>
      </c>
      <c r="AR44" s="10">
        <f>IF(AB44=1,IF(Q44="tak",AQ44,PMT(M44/12,P44+1-SUM(AB$5:AB44),AP44)),0)</f>
        <v>0</v>
      </c>
      <c r="AS44" s="10">
        <f t="shared" si="71"/>
        <v>0</v>
      </c>
      <c r="AT44" s="10">
        <f t="shared" si="72"/>
        <v>0</v>
      </c>
      <c r="AV44" s="11">
        <f>AV$5+SUM(AX$5:AX43)+SUM(W$5:W43)-SUM(X$5:X43)</f>
        <v>175916.96719148563</v>
      </c>
      <c r="AW44" s="11">
        <f t="shared" si="73"/>
        <v>0</v>
      </c>
      <c r="AX44" s="11">
        <f t="shared" si="74"/>
        <v>0</v>
      </c>
      <c r="AY44" s="11">
        <f t="shared" si="75"/>
        <v>0</v>
      </c>
      <c r="AZ44" s="11">
        <f t="shared" si="76"/>
        <v>0</v>
      </c>
      <c r="BB44" s="191">
        <f t="shared" si="4"/>
        <v>0.0578</v>
      </c>
      <c r="BC44" s="44">
        <f>BB44+Podsumowanie!$E$6</f>
        <v>0.0698</v>
      </c>
      <c r="BD44" s="11">
        <f>BD$5+SUM(BE$5:BE43)+SUM(R$5:R43)-SUM(S$5:S43)</f>
        <v>400000</v>
      </c>
      <c r="BE44" s="10">
        <f t="shared" si="77"/>
        <v>0</v>
      </c>
      <c r="BF44" s="10">
        <f t="shared" si="78"/>
        <v>0</v>
      </c>
      <c r="BG44" s="10">
        <f>IF(U44&lt;0,PMT(BC44/12,Podsumowanie!E$8-SUM(AB$5:AB44)+1,BD44),0)</f>
        <v>0</v>
      </c>
      <c r="BI44" s="11">
        <f>BI$5+SUM(BK$5:BK43)+SUM(R$5:R43)-SUM(S$5:S43)</f>
        <v>400000</v>
      </c>
      <c r="BJ44" s="11">
        <f t="shared" si="5"/>
        <v>0</v>
      </c>
      <c r="BK44" s="11">
        <f t="shared" si="6"/>
        <v>0</v>
      </c>
      <c r="BL44" s="11">
        <f t="shared" si="7"/>
        <v>0</v>
      </c>
      <c r="BN44" s="44">
        <f t="shared" si="8"/>
        <v>0.06989999999999999</v>
      </c>
      <c r="BO44" s="11">
        <f>BO$5+SUM(BP$5:BP43)+SUM(R$5:R43)-SUM(S$5:S43)+SUM(BS$5:BS43)</f>
        <v>400000</v>
      </c>
      <c r="BP44" s="10">
        <f t="shared" si="46"/>
        <v>0</v>
      </c>
      <c r="BQ44" s="10">
        <f t="shared" si="47"/>
        <v>0</v>
      </c>
      <c r="BR44" s="10">
        <f>IF(U44&lt;0,PMT(BN44/12,Podsumowanie!E$8-SUM(AB$5:AB44)+1,BO44),0)</f>
        <v>0</v>
      </c>
      <c r="BS44" s="10">
        <f t="shared" si="41"/>
        <v>0</v>
      </c>
      <c r="BU44" s="11">
        <f>BU$5+SUM(BW$5:BW43)+SUM(R$5:R43)-SUM(S$5:S43)+SUM(BY$5,BY43)</f>
        <v>400000</v>
      </c>
      <c r="BV44" s="10">
        <f t="shared" si="9"/>
        <v>0</v>
      </c>
      <c r="BW44" s="10">
        <f t="shared" si="10"/>
        <v>0</v>
      </c>
      <c r="BX44" s="10">
        <f t="shared" si="48"/>
        <v>0</v>
      </c>
      <c r="BY44" s="10">
        <f t="shared" si="49"/>
        <v>0</v>
      </c>
      <c r="CA44" s="10">
        <f>CA$5+SUM(CB$5:CB43)+SUM(R$5:R43)-SUM(S$5:S43)-SUM(CC$5:CC43)</f>
        <v>400000</v>
      </c>
      <c r="CB44" s="10">
        <f t="shared" si="42"/>
        <v>0</v>
      </c>
      <c r="CC44" s="10">
        <f t="shared" si="43"/>
        <v>0</v>
      </c>
      <c r="CD44" s="10">
        <f t="shared" si="44"/>
        <v>0</v>
      </c>
      <c r="CF44" s="44">
        <f t="shared" si="11"/>
        <v>0.8319</v>
      </c>
      <c r="CG44" s="10">
        <f t="shared" si="45"/>
        <v>0</v>
      </c>
      <c r="CH44" s="4">
        <f t="shared" si="50"/>
        <v>0</v>
      </c>
    </row>
    <row r="45" spans="1:86" ht="15.75">
      <c r="A45" s="36"/>
      <c r="B45" s="37">
        <v>38473</v>
      </c>
      <c r="C45" s="77">
        <f t="shared" si="1"/>
        <v>2.7075</v>
      </c>
      <c r="D45" s="78">
        <f>C45*(1+Podsumowanie!E$11)</f>
        <v>2.788725</v>
      </c>
      <c r="E45" s="34">
        <f t="shared" si="51"/>
        <v>0</v>
      </c>
      <c r="F45" s="7">
        <f t="shared" si="52"/>
        <v>0</v>
      </c>
      <c r="G45" s="7">
        <f t="shared" si="53"/>
        <v>0</v>
      </c>
      <c r="H45" s="7">
        <f t="shared" si="54"/>
        <v>0</v>
      </c>
      <c r="I45" s="32"/>
      <c r="J45" s="4" t="str">
        <f t="shared" si="55"/>
        <v xml:space="preserve"> </v>
      </c>
      <c r="K45" s="4">
        <f>IF(B45&lt;Podsumowanie!E$7,0,K44+1)</f>
        <v>0</v>
      </c>
      <c r="L45" s="100">
        <f t="shared" si="2"/>
        <v>0.0076</v>
      </c>
      <c r="M45" s="38">
        <f>L45+Podsumowanie!E$6</f>
        <v>0.0196</v>
      </c>
      <c r="N45" s="101">
        <f>MAX(Podsumowanie!E$4+SUM(AA$5:AA44)-SUM(X$5:X45)+SUM(W$5:W45),0)</f>
        <v>181357.6981355522</v>
      </c>
      <c r="O45" s="102">
        <f>MAX(Podsumowanie!E$2+SUM(V$5:V44)-SUM(S$5:S45)+SUM(R$5:R45),0)</f>
        <v>400000</v>
      </c>
      <c r="P45" s="39">
        <f t="shared" si="56"/>
        <v>360</v>
      </c>
      <c r="Q45" s="40" t="str">
        <f>IF(AND(K45&gt;0,K45&lt;=Podsumowanie!E$9),"tak","nie")</f>
        <v>nie</v>
      </c>
      <c r="R45" s="41"/>
      <c r="S45" s="42"/>
      <c r="T45" s="88">
        <f t="shared" si="57"/>
        <v>0</v>
      </c>
      <c r="U45" s="89">
        <f>IF(Q45="tak",T45,IF(P45-SUM(AB$5:AB45)+1&gt;0,IF(Podsumowanie!E$7&lt;B45,IF(SUM(AB$5:AB45)-Podsumowanie!E$9+1&gt;0,PMT(M45/12,P45+1-SUM(AB$5:AB45),O45),T45),0),0))</f>
        <v>0</v>
      </c>
      <c r="V45" s="89">
        <f t="shared" si="58"/>
        <v>0</v>
      </c>
      <c r="W45" s="90" t="str">
        <f>IF(R45&gt;0,R45/(C45*(1-Podsumowanie!E$11))," ")</f>
        <v xml:space="preserve"> </v>
      </c>
      <c r="X45" s="90" t="str">
        <f t="shared" si="59"/>
        <v xml:space="preserve"> </v>
      </c>
      <c r="Y45" s="91">
        <f t="shared" si="3"/>
        <v>0</v>
      </c>
      <c r="Z45" s="90">
        <f>IF(P45-SUM(AB$5:AB45)+1&gt;0,IF(Podsumowanie!E$7&lt;B45,IF(SUM(AB$5:AB45)-Podsumowanie!E$9+1&gt;0,PMT(M45/12,P45+1-SUM(AB$5:AB45),N45),Y45),0),0)</f>
        <v>0</v>
      </c>
      <c r="AA45" s="90">
        <f t="shared" si="60"/>
        <v>0</v>
      </c>
      <c r="AB45" s="8" t="str">
        <f>IF(AND(Podsumowanie!E$7&lt;B45,SUM(AB$5:AB44)&lt;P44),1," ")</f>
        <v xml:space="preserve"> </v>
      </c>
      <c r="AD45" s="10">
        <f>Podsumowanie!E$4-SUM(AF$5:AF44)+SUM(W$42:W45)-SUM(X$42:X45)</f>
        <v>181357.6981355522</v>
      </c>
      <c r="AE45" s="10">
        <f t="shared" si="61"/>
        <v>0</v>
      </c>
      <c r="AF45" s="10">
        <f t="shared" si="62"/>
        <v>0</v>
      </c>
      <c r="AG45" s="10">
        <f t="shared" si="63"/>
        <v>0</v>
      </c>
      <c r="AH45" s="10">
        <f t="shared" si="64"/>
        <v>0</v>
      </c>
      <c r="AI45" s="10">
        <f>Podsumowanie!E$2-SUM(AK$5:AK44)+SUM(R$42:R45)-SUM(S$42:S45)</f>
        <v>400000</v>
      </c>
      <c r="AJ45" s="10">
        <f t="shared" si="65"/>
        <v>0</v>
      </c>
      <c r="AK45" s="10">
        <f t="shared" si="66"/>
        <v>0</v>
      </c>
      <c r="AL45" s="10">
        <f t="shared" si="67"/>
        <v>0</v>
      </c>
      <c r="AM45" s="10">
        <f t="shared" si="68"/>
        <v>0</v>
      </c>
      <c r="AO45" s="43">
        <f t="shared" si="69"/>
        <v>38473</v>
      </c>
      <c r="AP45" s="11">
        <f>AP$5+SUM(AS$5:AS44)-SUM(X$5:X45)+SUM(W$5:W45)</f>
        <v>175916.96719148563</v>
      </c>
      <c r="AQ45" s="10">
        <f t="shared" si="70"/>
        <v>0</v>
      </c>
      <c r="AR45" s="10">
        <f>IF(AB45=1,IF(Q45="tak",AQ45,PMT(M45/12,P45+1-SUM(AB$5:AB45),AP45)),0)</f>
        <v>0</v>
      </c>
      <c r="AS45" s="10">
        <f t="shared" si="71"/>
        <v>0</v>
      </c>
      <c r="AT45" s="10">
        <f t="shared" si="72"/>
        <v>0</v>
      </c>
      <c r="AV45" s="11">
        <f>AV$5+SUM(AX$5:AX44)+SUM(W$5:W44)-SUM(X$5:X44)</f>
        <v>175916.96719148563</v>
      </c>
      <c r="AW45" s="11">
        <f t="shared" si="73"/>
        <v>0</v>
      </c>
      <c r="AX45" s="11">
        <f t="shared" si="74"/>
        <v>0</v>
      </c>
      <c r="AY45" s="11">
        <f t="shared" si="75"/>
        <v>0</v>
      </c>
      <c r="AZ45" s="11">
        <f t="shared" si="76"/>
        <v>0</v>
      </c>
      <c r="BB45" s="191">
        <f t="shared" si="4"/>
        <v>0.0548</v>
      </c>
      <c r="BC45" s="44">
        <f>BB45+Podsumowanie!$E$6</f>
        <v>0.0668</v>
      </c>
      <c r="BD45" s="11">
        <f>BD$5+SUM(BE$5:BE44)+SUM(R$5:R44)-SUM(S$5:S44)</f>
        <v>400000</v>
      </c>
      <c r="BE45" s="10">
        <f t="shared" si="77"/>
        <v>0</v>
      </c>
      <c r="BF45" s="10">
        <f t="shared" si="78"/>
        <v>0</v>
      </c>
      <c r="BG45" s="10">
        <f>IF(U45&lt;0,PMT(BC45/12,Podsumowanie!E$8-SUM(AB$5:AB45)+1,BD45),0)</f>
        <v>0</v>
      </c>
      <c r="BI45" s="11">
        <f>BI$5+SUM(BK$5:BK44)+SUM(R$5:R44)-SUM(S$5:S44)</f>
        <v>400000</v>
      </c>
      <c r="BJ45" s="11">
        <f t="shared" si="5"/>
        <v>0</v>
      </c>
      <c r="BK45" s="11">
        <f t="shared" si="6"/>
        <v>0</v>
      </c>
      <c r="BL45" s="11">
        <f t="shared" si="7"/>
        <v>0</v>
      </c>
      <c r="BN45" s="44">
        <f t="shared" si="8"/>
        <v>0.0669</v>
      </c>
      <c r="BO45" s="11">
        <f>BO$5+SUM(BP$5:BP44)+SUM(R$5:R44)-SUM(S$5:S44)+SUM(BS$5:BS44)</f>
        <v>400000</v>
      </c>
      <c r="BP45" s="10">
        <f t="shared" si="46"/>
        <v>0</v>
      </c>
      <c r="BQ45" s="10">
        <f t="shared" si="47"/>
        <v>0</v>
      </c>
      <c r="BR45" s="10">
        <f>IF(U45&lt;0,PMT(BN45/12,Podsumowanie!E$8-SUM(AB$5:AB45)+1,BO45),0)</f>
        <v>0</v>
      </c>
      <c r="BS45" s="10">
        <f t="shared" si="41"/>
        <v>0</v>
      </c>
      <c r="BU45" s="11">
        <f>BU$5+SUM(BW$5:BW44)+SUM(R$5:R44)-SUM(S$5:S44)+SUM(BY$5,BY44)</f>
        <v>400000</v>
      </c>
      <c r="BV45" s="10">
        <f t="shared" si="9"/>
        <v>0</v>
      </c>
      <c r="BW45" s="10">
        <f t="shared" si="10"/>
        <v>0</v>
      </c>
      <c r="BX45" s="10">
        <f t="shared" si="48"/>
        <v>0</v>
      </c>
      <c r="BY45" s="10">
        <f t="shared" si="49"/>
        <v>0</v>
      </c>
      <c r="CA45" s="10">
        <f>CA$5+SUM(CB$5:CB44)+SUM(R$5:R44)-SUM(S$5:S44)-SUM(CC$5:CC44)</f>
        <v>400000</v>
      </c>
      <c r="CB45" s="10">
        <f t="shared" si="42"/>
        <v>0</v>
      </c>
      <c r="CC45" s="10">
        <f t="shared" si="43"/>
        <v>0</v>
      </c>
      <c r="CD45" s="10">
        <f t="shared" si="44"/>
        <v>0</v>
      </c>
      <c r="CF45" s="44">
        <f t="shared" si="11"/>
        <v>0.8264</v>
      </c>
      <c r="CG45" s="10">
        <f t="shared" si="45"/>
        <v>0</v>
      </c>
      <c r="CH45" s="4">
        <f t="shared" si="50"/>
        <v>0</v>
      </c>
    </row>
    <row r="46" spans="1:86" ht="15.75">
      <c r="A46" s="36"/>
      <c r="B46" s="37">
        <v>38504</v>
      </c>
      <c r="C46" s="77">
        <f t="shared" si="1"/>
        <v>2.6396</v>
      </c>
      <c r="D46" s="78">
        <f>C46*(1+Podsumowanie!E$11)</f>
        <v>2.7187880000000004</v>
      </c>
      <c r="E46" s="34">
        <f t="shared" si="51"/>
        <v>0</v>
      </c>
      <c r="F46" s="7">
        <f t="shared" si="52"/>
        <v>0</v>
      </c>
      <c r="G46" s="7">
        <f t="shared" si="53"/>
        <v>0</v>
      </c>
      <c r="H46" s="7">
        <f t="shared" si="54"/>
        <v>0</v>
      </c>
      <c r="I46" s="32"/>
      <c r="J46" s="4" t="str">
        <f t="shared" si="55"/>
        <v xml:space="preserve"> </v>
      </c>
      <c r="K46" s="4">
        <f>IF(B46&lt;Podsumowanie!E$7,0,K45+1)</f>
        <v>0</v>
      </c>
      <c r="L46" s="100">
        <f t="shared" si="2"/>
        <v>0.0075</v>
      </c>
      <c r="M46" s="38">
        <f>L46+Podsumowanie!E$6</f>
        <v>0.0195</v>
      </c>
      <c r="N46" s="101">
        <f>MAX(Podsumowanie!E$4+SUM(AA$5:AA45)-SUM(X$5:X46)+SUM(W$5:W46),0)</f>
        <v>181357.6981355522</v>
      </c>
      <c r="O46" s="102">
        <f>MAX(Podsumowanie!E$2+SUM(V$5:V45)-SUM(S$5:S46)+SUM(R$5:R46),0)</f>
        <v>400000</v>
      </c>
      <c r="P46" s="39">
        <f t="shared" si="56"/>
        <v>360</v>
      </c>
      <c r="Q46" s="40" t="str">
        <f>IF(AND(K46&gt;0,K46&lt;=Podsumowanie!E$9),"tak","nie")</f>
        <v>nie</v>
      </c>
      <c r="R46" s="41"/>
      <c r="S46" s="42"/>
      <c r="T46" s="88">
        <f t="shared" si="57"/>
        <v>0</v>
      </c>
      <c r="U46" s="89">
        <f>IF(Q46="tak",T46,IF(P46-SUM(AB$5:AB46)+1&gt;0,IF(Podsumowanie!E$7&lt;B46,IF(SUM(AB$5:AB46)-Podsumowanie!E$9+1&gt;0,PMT(M46/12,P46+1-SUM(AB$5:AB46),O46),T46),0),0))</f>
        <v>0</v>
      </c>
      <c r="V46" s="89">
        <f t="shared" si="58"/>
        <v>0</v>
      </c>
      <c r="W46" s="90" t="str">
        <f>IF(R46&gt;0,R46/(C46*(1-Podsumowanie!E$11))," ")</f>
        <v xml:space="preserve"> </v>
      </c>
      <c r="X46" s="90" t="str">
        <f t="shared" si="59"/>
        <v xml:space="preserve"> </v>
      </c>
      <c r="Y46" s="91">
        <f t="shared" si="3"/>
        <v>0</v>
      </c>
      <c r="Z46" s="90">
        <f>IF(P46-SUM(AB$5:AB46)+1&gt;0,IF(Podsumowanie!E$7&lt;B46,IF(SUM(AB$5:AB46)-Podsumowanie!E$9+1&gt;0,PMT(M46/12,P46+1-SUM(AB$5:AB46),N46),Y46),0),0)</f>
        <v>0</v>
      </c>
      <c r="AA46" s="90">
        <f t="shared" si="60"/>
        <v>0</v>
      </c>
      <c r="AB46" s="8" t="str">
        <f>IF(AND(Podsumowanie!E$7&lt;B46,SUM(AB$5:AB45)&lt;P45),1," ")</f>
        <v xml:space="preserve"> </v>
      </c>
      <c r="AD46" s="10">
        <f>Podsumowanie!E$4-SUM(AF$5:AF45)+SUM(W$42:W46)-SUM(X$42:X46)</f>
        <v>181357.6981355522</v>
      </c>
      <c r="AE46" s="10">
        <f t="shared" si="61"/>
        <v>0</v>
      </c>
      <c r="AF46" s="10">
        <f t="shared" si="62"/>
        <v>0</v>
      </c>
      <c r="AG46" s="10">
        <f t="shared" si="63"/>
        <v>0</v>
      </c>
      <c r="AH46" s="10">
        <f t="shared" si="64"/>
        <v>0</v>
      </c>
      <c r="AI46" s="10">
        <f>Podsumowanie!E$2-SUM(AK$5:AK45)+SUM(R$42:R46)-SUM(S$42:S46)</f>
        <v>400000</v>
      </c>
      <c r="AJ46" s="10">
        <f t="shared" si="65"/>
        <v>0</v>
      </c>
      <c r="AK46" s="10">
        <f t="shared" si="66"/>
        <v>0</v>
      </c>
      <c r="AL46" s="10">
        <f t="shared" si="67"/>
        <v>0</v>
      </c>
      <c r="AM46" s="10">
        <f t="shared" si="68"/>
        <v>0</v>
      </c>
      <c r="AO46" s="43">
        <f t="shared" si="69"/>
        <v>38504</v>
      </c>
      <c r="AP46" s="11">
        <f>AP$5+SUM(AS$5:AS45)-SUM(X$5:X46)+SUM(W$5:W46)</f>
        <v>175916.96719148563</v>
      </c>
      <c r="AQ46" s="10">
        <f t="shared" si="70"/>
        <v>0</v>
      </c>
      <c r="AR46" s="10">
        <f>IF(AB46=1,IF(Q46="tak",AQ46,PMT(M46/12,P46+1-SUM(AB$5:AB46),AP46)),0)</f>
        <v>0</v>
      </c>
      <c r="AS46" s="10">
        <f t="shared" si="71"/>
        <v>0</v>
      </c>
      <c r="AT46" s="10">
        <f t="shared" si="72"/>
        <v>0</v>
      </c>
      <c r="AV46" s="11">
        <f>AV$5+SUM(AX$5:AX45)+SUM(W$5:W45)-SUM(X$5:X45)</f>
        <v>175916.96719148563</v>
      </c>
      <c r="AW46" s="11">
        <f t="shared" si="73"/>
        <v>0</v>
      </c>
      <c r="AX46" s="11">
        <f t="shared" si="74"/>
        <v>0</v>
      </c>
      <c r="AY46" s="11">
        <f t="shared" si="75"/>
        <v>0</v>
      </c>
      <c r="AZ46" s="11">
        <f t="shared" si="76"/>
        <v>0</v>
      </c>
      <c r="BB46" s="191">
        <f t="shared" si="4"/>
        <v>0.0522</v>
      </c>
      <c r="BC46" s="44">
        <f>BB46+Podsumowanie!$E$6</f>
        <v>0.06420000000000001</v>
      </c>
      <c r="BD46" s="11">
        <f>BD$5+SUM(BE$5:BE45)+SUM(R$5:R45)-SUM(S$5:S45)</f>
        <v>400000</v>
      </c>
      <c r="BE46" s="10">
        <f t="shared" si="77"/>
        <v>0</v>
      </c>
      <c r="BF46" s="10">
        <f t="shared" si="78"/>
        <v>0</v>
      </c>
      <c r="BG46" s="10">
        <f>IF(U46&lt;0,PMT(BC46/12,Podsumowanie!E$8-SUM(AB$5:AB46)+1,BD46),0)</f>
        <v>0</v>
      </c>
      <c r="BI46" s="11">
        <f>BI$5+SUM(BK$5:BK45)+SUM(R$5:R45)-SUM(S$5:S45)</f>
        <v>400000</v>
      </c>
      <c r="BJ46" s="11">
        <f t="shared" si="5"/>
        <v>0</v>
      </c>
      <c r="BK46" s="11">
        <f t="shared" si="6"/>
        <v>0</v>
      </c>
      <c r="BL46" s="11">
        <f t="shared" si="7"/>
        <v>0</v>
      </c>
      <c r="BN46" s="44">
        <f t="shared" si="8"/>
        <v>0.0643</v>
      </c>
      <c r="BO46" s="11">
        <f>BO$5+SUM(BP$5:BP45)+SUM(R$5:R45)-SUM(S$5:S45)+SUM(BS$5:BS45)</f>
        <v>400000</v>
      </c>
      <c r="BP46" s="10">
        <f t="shared" si="46"/>
        <v>0</v>
      </c>
      <c r="BQ46" s="10">
        <f t="shared" si="47"/>
        <v>0</v>
      </c>
      <c r="BR46" s="10">
        <f>IF(U46&lt;0,PMT(BN46/12,Podsumowanie!E$8-SUM(AB$5:AB46)+1,BO46),0)</f>
        <v>0</v>
      </c>
      <c r="BS46" s="10">
        <f t="shared" si="41"/>
        <v>0</v>
      </c>
      <c r="BU46" s="11">
        <f>BU$5+SUM(BW$5:BW45)+SUM(R$5:R45)-SUM(S$5:S45)+SUM(BY$5,BY45)</f>
        <v>400000</v>
      </c>
      <c r="BV46" s="10">
        <f t="shared" si="9"/>
        <v>0</v>
      </c>
      <c r="BW46" s="10">
        <f t="shared" si="10"/>
        <v>0</v>
      </c>
      <c r="BX46" s="10">
        <f t="shared" si="48"/>
        <v>0</v>
      </c>
      <c r="BY46" s="10">
        <f t="shared" si="49"/>
        <v>0</v>
      </c>
      <c r="CA46" s="10">
        <f>CA$5+SUM(CB$5:CB45)+SUM(R$5:R45)-SUM(S$5:S45)-SUM(CC$5:CC45)</f>
        <v>400000</v>
      </c>
      <c r="CB46" s="10">
        <f t="shared" si="42"/>
        <v>0</v>
      </c>
      <c r="CC46" s="10">
        <f t="shared" si="43"/>
        <v>0</v>
      </c>
      <c r="CD46" s="10">
        <f t="shared" si="44"/>
        <v>0</v>
      </c>
      <c r="CF46" s="44">
        <f t="shared" si="11"/>
        <v>0.8301</v>
      </c>
      <c r="CG46" s="10">
        <f t="shared" si="45"/>
        <v>0</v>
      </c>
      <c r="CH46" s="4">
        <f t="shared" si="50"/>
        <v>0</v>
      </c>
    </row>
    <row r="47" spans="1:86" ht="15.75">
      <c r="A47" s="36"/>
      <c r="B47" s="37">
        <v>38534</v>
      </c>
      <c r="C47" s="77">
        <f t="shared" si="1"/>
        <v>2.6297</v>
      </c>
      <c r="D47" s="78">
        <f>C47*(1+Podsumowanie!E$11)</f>
        <v>2.708591</v>
      </c>
      <c r="E47" s="34">
        <f t="shared" si="51"/>
        <v>0</v>
      </c>
      <c r="F47" s="7">
        <f t="shared" si="52"/>
        <v>0</v>
      </c>
      <c r="G47" s="7">
        <f t="shared" si="53"/>
        <v>0</v>
      </c>
      <c r="H47" s="7">
        <f t="shared" si="54"/>
        <v>0</v>
      </c>
      <c r="I47" s="32"/>
      <c r="J47" s="4" t="str">
        <f t="shared" si="55"/>
        <v xml:space="preserve"> </v>
      </c>
      <c r="K47" s="4">
        <f>IF(B47&lt;Podsumowanie!E$7,0,K46+1)</f>
        <v>0</v>
      </c>
      <c r="L47" s="100">
        <f t="shared" si="2"/>
        <v>0.007467</v>
      </c>
      <c r="M47" s="38">
        <f>L47+Podsumowanie!E$6</f>
        <v>0.019466999999999998</v>
      </c>
      <c r="N47" s="101">
        <f>MAX(Podsumowanie!E$4+SUM(AA$5:AA46)-SUM(X$5:X47)+SUM(W$5:W47),0)</f>
        <v>181357.6981355522</v>
      </c>
      <c r="O47" s="102">
        <f>MAX(Podsumowanie!E$2+SUM(V$5:V46)-SUM(S$5:S47)+SUM(R$5:R47),0)</f>
        <v>400000</v>
      </c>
      <c r="P47" s="39">
        <f t="shared" si="56"/>
        <v>360</v>
      </c>
      <c r="Q47" s="40" t="str">
        <f>IF(AND(K47&gt;0,K47&lt;=Podsumowanie!E$9),"tak","nie")</f>
        <v>nie</v>
      </c>
      <c r="R47" s="41"/>
      <c r="S47" s="42"/>
      <c r="T47" s="88">
        <f t="shared" si="57"/>
        <v>0</v>
      </c>
      <c r="U47" s="89">
        <f>IF(Q47="tak",T47,IF(P47-SUM(AB$5:AB47)+1&gt;0,IF(Podsumowanie!E$7&lt;B47,IF(SUM(AB$5:AB47)-Podsumowanie!E$9+1&gt;0,PMT(M47/12,P47+1-SUM(AB$5:AB47),O47),T47),0),0))</f>
        <v>0</v>
      </c>
      <c r="V47" s="89">
        <f t="shared" si="58"/>
        <v>0</v>
      </c>
      <c r="W47" s="90" t="str">
        <f>IF(R47&gt;0,R47/(C47*(1-Podsumowanie!E$11))," ")</f>
        <v xml:space="preserve"> </v>
      </c>
      <c r="X47" s="90" t="str">
        <f t="shared" si="59"/>
        <v xml:space="preserve"> </v>
      </c>
      <c r="Y47" s="91">
        <f t="shared" si="3"/>
        <v>0</v>
      </c>
      <c r="Z47" s="90">
        <f>IF(P47-SUM(AB$5:AB47)+1&gt;0,IF(Podsumowanie!E$7&lt;B47,IF(SUM(AB$5:AB47)-Podsumowanie!E$9+1&gt;0,PMT(M47/12,P47+1-SUM(AB$5:AB47),N47),Y47),0),0)</f>
        <v>0</v>
      </c>
      <c r="AA47" s="90">
        <f t="shared" si="60"/>
        <v>0</v>
      </c>
      <c r="AB47" s="8" t="str">
        <f>IF(AND(Podsumowanie!E$7&lt;B47,SUM(AB$5:AB46)&lt;P46),1," ")</f>
        <v xml:space="preserve"> </v>
      </c>
      <c r="AD47" s="10">
        <f>Podsumowanie!E$4-SUM(AF$5:AF46)+SUM(W$42:W47)-SUM(X$42:X47)</f>
        <v>181357.6981355522</v>
      </c>
      <c r="AE47" s="10">
        <f t="shared" si="61"/>
        <v>0</v>
      </c>
      <c r="AF47" s="10">
        <f t="shared" si="62"/>
        <v>0</v>
      </c>
      <c r="AG47" s="10">
        <f t="shared" si="63"/>
        <v>0</v>
      </c>
      <c r="AH47" s="10">
        <f t="shared" si="64"/>
        <v>0</v>
      </c>
      <c r="AI47" s="10">
        <f>Podsumowanie!E$2-SUM(AK$5:AK46)+SUM(R$42:R47)-SUM(S$42:S47)</f>
        <v>400000</v>
      </c>
      <c r="AJ47" s="10">
        <f t="shared" si="65"/>
        <v>0</v>
      </c>
      <c r="AK47" s="10">
        <f t="shared" si="66"/>
        <v>0</v>
      </c>
      <c r="AL47" s="10">
        <f t="shared" si="67"/>
        <v>0</v>
      </c>
      <c r="AM47" s="10">
        <f t="shared" si="68"/>
        <v>0</v>
      </c>
      <c r="AO47" s="43">
        <f t="shared" si="69"/>
        <v>38534</v>
      </c>
      <c r="AP47" s="11">
        <f>AP$5+SUM(AS$5:AS46)-SUM(X$5:X47)+SUM(W$5:W47)</f>
        <v>175916.96719148563</v>
      </c>
      <c r="AQ47" s="10">
        <f t="shared" si="70"/>
        <v>0</v>
      </c>
      <c r="AR47" s="10">
        <f>IF(AB47=1,IF(Q47="tak",AQ47,PMT(M47/12,P47+1-SUM(AB$5:AB47),AP47)),0)</f>
        <v>0</v>
      </c>
      <c r="AS47" s="10">
        <f t="shared" si="71"/>
        <v>0</v>
      </c>
      <c r="AT47" s="10">
        <f t="shared" si="72"/>
        <v>0</v>
      </c>
      <c r="AV47" s="11">
        <f>AV$5+SUM(AX$5:AX46)+SUM(W$5:W46)-SUM(X$5:X46)</f>
        <v>175916.96719148563</v>
      </c>
      <c r="AW47" s="11">
        <f t="shared" si="73"/>
        <v>0</v>
      </c>
      <c r="AX47" s="11">
        <f t="shared" si="74"/>
        <v>0</v>
      </c>
      <c r="AY47" s="11">
        <f t="shared" si="75"/>
        <v>0</v>
      </c>
      <c r="AZ47" s="11">
        <f t="shared" si="76"/>
        <v>0</v>
      </c>
      <c r="BB47" s="191">
        <f t="shared" si="4"/>
        <v>0.0468</v>
      </c>
      <c r="BC47" s="44">
        <f>BB47+Podsumowanie!$E$6</f>
        <v>0.058800000000000005</v>
      </c>
      <c r="BD47" s="11">
        <f>BD$5+SUM(BE$5:BE46)+SUM(R$5:R46)-SUM(S$5:S46)</f>
        <v>400000</v>
      </c>
      <c r="BE47" s="10">
        <f t="shared" si="77"/>
        <v>0</v>
      </c>
      <c r="BF47" s="10">
        <f t="shared" si="78"/>
        <v>0</v>
      </c>
      <c r="BG47" s="10">
        <f>IF(U47&lt;0,PMT(BC47/12,Podsumowanie!E$8-SUM(AB$5:AB47)+1,BD47),0)</f>
        <v>0</v>
      </c>
      <c r="BI47" s="11">
        <f>BI$5+SUM(BK$5:BK46)+SUM(R$5:R46)-SUM(S$5:S46)</f>
        <v>400000</v>
      </c>
      <c r="BJ47" s="11">
        <f t="shared" si="5"/>
        <v>0</v>
      </c>
      <c r="BK47" s="11">
        <f t="shared" si="6"/>
        <v>0</v>
      </c>
      <c r="BL47" s="11">
        <f t="shared" si="7"/>
        <v>0</v>
      </c>
      <c r="BN47" s="44">
        <f t="shared" si="8"/>
        <v>0.0589</v>
      </c>
      <c r="BO47" s="11">
        <f>BO$5+SUM(BP$5:BP46)+SUM(R$5:R46)-SUM(S$5:S46)+SUM(BS$5:BS46)</f>
        <v>400000</v>
      </c>
      <c r="BP47" s="10">
        <f t="shared" si="46"/>
        <v>0</v>
      </c>
      <c r="BQ47" s="10">
        <f t="shared" si="47"/>
        <v>0</v>
      </c>
      <c r="BR47" s="10">
        <f>IF(U47&lt;0,PMT(BN47/12,Podsumowanie!E$8-SUM(AB$5:AB47)+1,BO47),0)</f>
        <v>0</v>
      </c>
      <c r="BS47" s="10">
        <f t="shared" si="41"/>
        <v>0</v>
      </c>
      <c r="BU47" s="11">
        <f>BU$5+SUM(BW$5:BW46)+SUM(R$5:R46)-SUM(S$5:S46)+SUM(BY$5,BY46)</f>
        <v>400000</v>
      </c>
      <c r="BV47" s="10">
        <f t="shared" si="9"/>
        <v>0</v>
      </c>
      <c r="BW47" s="10">
        <f t="shared" si="10"/>
        <v>0</v>
      </c>
      <c r="BX47" s="10">
        <f t="shared" si="48"/>
        <v>0</v>
      </c>
      <c r="BY47" s="10">
        <f t="shared" si="49"/>
        <v>0</v>
      </c>
      <c r="CA47" s="10">
        <f>CA$5+SUM(CB$5:CB46)+SUM(R$5:R46)-SUM(S$5:S46)-SUM(CC$5:CC46)</f>
        <v>400000</v>
      </c>
      <c r="CB47" s="10">
        <f t="shared" si="42"/>
        <v>0</v>
      </c>
      <c r="CC47" s="10">
        <f t="shared" si="43"/>
        <v>0</v>
      </c>
      <c r="CD47" s="10">
        <f t="shared" si="44"/>
        <v>0</v>
      </c>
      <c r="CF47" s="44">
        <f t="shared" si="11"/>
        <v>0.8337</v>
      </c>
      <c r="CG47" s="10">
        <f t="shared" si="45"/>
        <v>0</v>
      </c>
      <c r="CH47" s="4">
        <f t="shared" si="50"/>
        <v>0</v>
      </c>
    </row>
    <row r="48" spans="1:86" ht="15.75">
      <c r="A48" s="36"/>
      <c r="B48" s="37">
        <v>38565</v>
      </c>
      <c r="C48" s="77">
        <f t="shared" si="1"/>
        <v>2.6048</v>
      </c>
      <c r="D48" s="78">
        <f>C48*(1+Podsumowanie!E$11)</f>
        <v>2.682944</v>
      </c>
      <c r="E48" s="34">
        <f t="shared" si="51"/>
        <v>0</v>
      </c>
      <c r="F48" s="7">
        <f t="shared" si="52"/>
        <v>0</v>
      </c>
      <c r="G48" s="7">
        <f t="shared" si="53"/>
        <v>0</v>
      </c>
      <c r="H48" s="7">
        <f t="shared" si="54"/>
        <v>0</v>
      </c>
      <c r="I48" s="32"/>
      <c r="J48" s="4" t="str">
        <f t="shared" si="55"/>
        <v xml:space="preserve"> </v>
      </c>
      <c r="K48" s="4">
        <f>IF(B48&lt;Podsumowanie!E$7,0,K47+1)</f>
        <v>0</v>
      </c>
      <c r="L48" s="100">
        <f t="shared" si="2"/>
        <v>0.007567</v>
      </c>
      <c r="M48" s="38">
        <f>L48+Podsumowanie!E$6</f>
        <v>0.019567</v>
      </c>
      <c r="N48" s="101">
        <f>MAX(Podsumowanie!E$4+SUM(AA$5:AA47)-SUM(X$5:X48)+SUM(W$5:W48),0)</f>
        <v>181357.6981355522</v>
      </c>
      <c r="O48" s="102">
        <f>MAX(Podsumowanie!E$2+SUM(V$5:V47)-SUM(S$5:S48)+SUM(R$5:R48),0)</f>
        <v>400000</v>
      </c>
      <c r="P48" s="39">
        <f t="shared" si="56"/>
        <v>360</v>
      </c>
      <c r="Q48" s="40" t="str">
        <f>IF(AND(K48&gt;0,K48&lt;=Podsumowanie!E$9),"tak","nie")</f>
        <v>nie</v>
      </c>
      <c r="R48" s="41"/>
      <c r="S48" s="42"/>
      <c r="T48" s="88">
        <f t="shared" si="57"/>
        <v>0</v>
      </c>
      <c r="U48" s="89">
        <f>IF(Q48="tak",T48,IF(P48-SUM(AB$5:AB48)+1&gt;0,IF(Podsumowanie!E$7&lt;B48,IF(SUM(AB$5:AB48)-Podsumowanie!E$9+1&gt;0,PMT(M48/12,P48+1-SUM(AB$5:AB48),O48),T48),0),0))</f>
        <v>0</v>
      </c>
      <c r="V48" s="89">
        <f t="shared" si="58"/>
        <v>0</v>
      </c>
      <c r="W48" s="90" t="str">
        <f>IF(R48&gt;0,R48/(C48*(1-Podsumowanie!E$11))," ")</f>
        <v xml:space="preserve"> </v>
      </c>
      <c r="X48" s="90" t="str">
        <f t="shared" si="59"/>
        <v xml:space="preserve"> </v>
      </c>
      <c r="Y48" s="91">
        <f t="shared" si="3"/>
        <v>0</v>
      </c>
      <c r="Z48" s="90">
        <f>IF(P48-SUM(AB$5:AB48)+1&gt;0,IF(Podsumowanie!E$7&lt;B48,IF(SUM(AB$5:AB48)-Podsumowanie!E$9+1&gt;0,PMT(M48/12,P48+1-SUM(AB$5:AB48),N48),Y48),0),0)</f>
        <v>0</v>
      </c>
      <c r="AA48" s="90">
        <f t="shared" si="60"/>
        <v>0</v>
      </c>
      <c r="AB48" s="8" t="str">
        <f>IF(AND(Podsumowanie!E$7&lt;B48,SUM(AB$5:AB47)&lt;P47),1," ")</f>
        <v xml:space="preserve"> </v>
      </c>
      <c r="AD48" s="10">
        <f>Podsumowanie!E$4-SUM(AF$5:AF47)+SUM(W$42:W48)-SUM(X$42:X48)</f>
        <v>181357.6981355522</v>
      </c>
      <c r="AE48" s="10">
        <f t="shared" si="61"/>
        <v>0</v>
      </c>
      <c r="AF48" s="10">
        <f t="shared" si="62"/>
        <v>0</v>
      </c>
      <c r="AG48" s="10">
        <f t="shared" si="63"/>
        <v>0</v>
      </c>
      <c r="AH48" s="10">
        <f t="shared" si="64"/>
        <v>0</v>
      </c>
      <c r="AI48" s="10">
        <f>Podsumowanie!E$2-SUM(AK$5:AK47)+SUM(R$42:R48)-SUM(S$42:S48)</f>
        <v>400000</v>
      </c>
      <c r="AJ48" s="10">
        <f t="shared" si="65"/>
        <v>0</v>
      </c>
      <c r="AK48" s="10">
        <f t="shared" si="66"/>
        <v>0</v>
      </c>
      <c r="AL48" s="10">
        <f t="shared" si="67"/>
        <v>0</v>
      </c>
      <c r="AM48" s="10">
        <f t="shared" si="68"/>
        <v>0</v>
      </c>
      <c r="AO48" s="43">
        <f t="shared" si="69"/>
        <v>38565</v>
      </c>
      <c r="AP48" s="11">
        <f>AP$5+SUM(AS$5:AS47)-SUM(X$5:X48)+SUM(W$5:W48)</f>
        <v>175916.96719148563</v>
      </c>
      <c r="AQ48" s="10">
        <f t="shared" si="70"/>
        <v>0</v>
      </c>
      <c r="AR48" s="10">
        <f>IF(AB48=1,IF(Q48="tak",AQ48,PMT(M48/12,P48+1-SUM(AB$5:AB48),AP48)),0)</f>
        <v>0</v>
      </c>
      <c r="AS48" s="10">
        <f t="shared" si="71"/>
        <v>0</v>
      </c>
      <c r="AT48" s="10">
        <f t="shared" si="72"/>
        <v>0</v>
      </c>
      <c r="AV48" s="11">
        <f>AV$5+SUM(AX$5:AX47)+SUM(W$5:W47)-SUM(X$5:X47)</f>
        <v>175916.96719148563</v>
      </c>
      <c r="AW48" s="11">
        <f t="shared" si="73"/>
        <v>0</v>
      </c>
      <c r="AX48" s="11">
        <f t="shared" si="74"/>
        <v>0</v>
      </c>
      <c r="AY48" s="11">
        <f t="shared" si="75"/>
        <v>0</v>
      </c>
      <c r="AZ48" s="11">
        <f t="shared" si="76"/>
        <v>0</v>
      </c>
      <c r="BB48" s="191">
        <f t="shared" si="4"/>
        <v>0.0467</v>
      </c>
      <c r="BC48" s="44">
        <f>BB48+Podsumowanie!$E$6</f>
        <v>0.0587</v>
      </c>
      <c r="BD48" s="11">
        <f>BD$5+SUM(BE$5:BE47)+SUM(R$5:R47)-SUM(S$5:S47)</f>
        <v>400000</v>
      </c>
      <c r="BE48" s="10">
        <f t="shared" si="77"/>
        <v>0</v>
      </c>
      <c r="BF48" s="10">
        <f t="shared" si="78"/>
        <v>0</v>
      </c>
      <c r="BG48" s="10">
        <f>IF(U48&lt;0,PMT(BC48/12,Podsumowanie!E$8-SUM(AB$5:AB48)+1,BD48),0)</f>
        <v>0</v>
      </c>
      <c r="BI48" s="11">
        <f>BI$5+SUM(BK$5:BK47)+SUM(R$5:R47)-SUM(S$5:S47)</f>
        <v>400000</v>
      </c>
      <c r="BJ48" s="11">
        <f t="shared" si="5"/>
        <v>0</v>
      </c>
      <c r="BK48" s="11">
        <f t="shared" si="6"/>
        <v>0</v>
      </c>
      <c r="BL48" s="11">
        <f t="shared" si="7"/>
        <v>0</v>
      </c>
      <c r="BN48" s="44">
        <f t="shared" si="8"/>
        <v>0.0588</v>
      </c>
      <c r="BO48" s="11">
        <f>BO$5+SUM(BP$5:BP47)+SUM(R$5:R47)-SUM(S$5:S47)+SUM(BS$5:BS47)</f>
        <v>400000</v>
      </c>
      <c r="BP48" s="10">
        <f t="shared" si="46"/>
        <v>0</v>
      </c>
      <c r="BQ48" s="10">
        <f t="shared" si="47"/>
        <v>0</v>
      </c>
      <c r="BR48" s="10">
        <f>IF(U48&lt;0,PMT(BN48/12,Podsumowanie!E$8-SUM(AB$5:AB48)+1,BO48),0)</f>
        <v>0</v>
      </c>
      <c r="BS48" s="10">
        <f t="shared" si="41"/>
        <v>0</v>
      </c>
      <c r="BU48" s="11">
        <f>BU$5+SUM(BW$5:BW47)+SUM(R$5:R47)-SUM(S$5:S47)+SUM(BY$5,BY47)</f>
        <v>400000</v>
      </c>
      <c r="BV48" s="10">
        <f t="shared" si="9"/>
        <v>0</v>
      </c>
      <c r="BW48" s="10">
        <f t="shared" si="10"/>
        <v>0</v>
      </c>
      <c r="BX48" s="10">
        <f t="shared" si="48"/>
        <v>0</v>
      </c>
      <c r="BY48" s="10">
        <f t="shared" si="49"/>
        <v>0</v>
      </c>
      <c r="CA48" s="10">
        <f>CA$5+SUM(CB$5:CB47)+SUM(R$5:R47)-SUM(S$5:S47)-SUM(CC$5:CC47)</f>
        <v>400000</v>
      </c>
      <c r="CB48" s="10">
        <f t="shared" si="42"/>
        <v>0</v>
      </c>
      <c r="CC48" s="10">
        <f t="shared" si="43"/>
        <v>0</v>
      </c>
      <c r="CD48" s="10">
        <f t="shared" si="44"/>
        <v>0</v>
      </c>
      <c r="CF48" s="44">
        <f t="shared" si="11"/>
        <v>0.8356</v>
      </c>
      <c r="CG48" s="10">
        <f t="shared" si="45"/>
        <v>0</v>
      </c>
      <c r="CH48" s="4">
        <f t="shared" si="50"/>
        <v>0</v>
      </c>
    </row>
    <row r="49" spans="1:86" ht="15.75">
      <c r="A49" s="36"/>
      <c r="B49" s="37">
        <v>38596</v>
      </c>
      <c r="C49" s="77">
        <f t="shared" si="1"/>
        <v>2.5338</v>
      </c>
      <c r="D49" s="78">
        <f>C49*(1+Podsumowanie!E$11)</f>
        <v>2.609814</v>
      </c>
      <c r="E49" s="34">
        <f t="shared" si="51"/>
        <v>0</v>
      </c>
      <c r="F49" s="7">
        <f t="shared" si="52"/>
        <v>0</v>
      </c>
      <c r="G49" s="7">
        <f t="shared" si="53"/>
        <v>0</v>
      </c>
      <c r="H49" s="7">
        <f t="shared" si="54"/>
        <v>0</v>
      </c>
      <c r="I49" s="32"/>
      <c r="J49" s="4" t="str">
        <f t="shared" si="55"/>
        <v xml:space="preserve"> </v>
      </c>
      <c r="K49" s="4">
        <f>IF(B49&lt;Podsumowanie!E$7,0,K48+1)</f>
        <v>0</v>
      </c>
      <c r="L49" s="100">
        <f t="shared" si="2"/>
        <v>0.0076</v>
      </c>
      <c r="M49" s="38">
        <f>L49+Podsumowanie!E$6</f>
        <v>0.0196</v>
      </c>
      <c r="N49" s="101">
        <f>MAX(Podsumowanie!E$4+SUM(AA$5:AA48)-SUM(X$5:X49)+SUM(W$5:W49),0)</f>
        <v>181357.6981355522</v>
      </c>
      <c r="O49" s="102">
        <f>MAX(Podsumowanie!E$2+SUM(V$5:V48)-SUM(S$5:S49)+SUM(R$5:R49),0)</f>
        <v>400000</v>
      </c>
      <c r="P49" s="39">
        <f t="shared" si="56"/>
        <v>360</v>
      </c>
      <c r="Q49" s="40" t="str">
        <f>IF(AND(K49&gt;0,K49&lt;=Podsumowanie!E$9),"tak","nie")</f>
        <v>nie</v>
      </c>
      <c r="R49" s="41"/>
      <c r="S49" s="42"/>
      <c r="T49" s="88">
        <f t="shared" si="57"/>
        <v>0</v>
      </c>
      <c r="U49" s="89">
        <f>IF(Q49="tak",T49,IF(P49-SUM(AB$5:AB49)+1&gt;0,IF(Podsumowanie!E$7&lt;B49,IF(SUM(AB$5:AB49)-Podsumowanie!E$9+1&gt;0,PMT(M49/12,P49+1-SUM(AB$5:AB49),O49),T49),0),0))</f>
        <v>0</v>
      </c>
      <c r="V49" s="89">
        <f t="shared" si="58"/>
        <v>0</v>
      </c>
      <c r="W49" s="90" t="str">
        <f>IF(R49&gt;0,R49/(C49*(1-Podsumowanie!E$11))," ")</f>
        <v xml:space="preserve"> </v>
      </c>
      <c r="X49" s="90" t="str">
        <f t="shared" si="59"/>
        <v xml:space="preserve"> </v>
      </c>
      <c r="Y49" s="91">
        <f t="shared" si="3"/>
        <v>0</v>
      </c>
      <c r="Z49" s="90">
        <f>IF(P49-SUM(AB$5:AB49)+1&gt;0,IF(Podsumowanie!E$7&lt;B49,IF(SUM(AB$5:AB49)-Podsumowanie!E$9+1&gt;0,PMT(M49/12,P49+1-SUM(AB$5:AB49),N49),Y49),0),0)</f>
        <v>0</v>
      </c>
      <c r="AA49" s="90">
        <f t="shared" si="60"/>
        <v>0</v>
      </c>
      <c r="AB49" s="8" t="str">
        <f>IF(AND(Podsumowanie!E$7&lt;B49,SUM(AB$5:AB48)&lt;P48),1," ")</f>
        <v xml:space="preserve"> </v>
      </c>
      <c r="AD49" s="10">
        <f>Podsumowanie!E$4-SUM(AF$5:AF48)+SUM(W$42:W49)-SUM(X$42:X49)</f>
        <v>181357.6981355522</v>
      </c>
      <c r="AE49" s="10">
        <f t="shared" si="61"/>
        <v>0</v>
      </c>
      <c r="AF49" s="10">
        <f t="shared" si="62"/>
        <v>0</v>
      </c>
      <c r="AG49" s="10">
        <f t="shared" si="63"/>
        <v>0</v>
      </c>
      <c r="AH49" s="10">
        <f t="shared" si="64"/>
        <v>0</v>
      </c>
      <c r="AI49" s="10">
        <f>Podsumowanie!E$2-SUM(AK$5:AK48)+SUM(R$42:R49)-SUM(S$42:S49)</f>
        <v>400000</v>
      </c>
      <c r="AJ49" s="10">
        <f t="shared" si="65"/>
        <v>0</v>
      </c>
      <c r="AK49" s="10">
        <f t="shared" si="66"/>
        <v>0</v>
      </c>
      <c r="AL49" s="10">
        <f t="shared" si="67"/>
        <v>0</v>
      </c>
      <c r="AM49" s="10">
        <f t="shared" si="68"/>
        <v>0</v>
      </c>
      <c r="AO49" s="43">
        <f t="shared" si="69"/>
        <v>38596</v>
      </c>
      <c r="AP49" s="11">
        <f>AP$5+SUM(AS$5:AS48)-SUM(X$5:X49)+SUM(W$5:W49)</f>
        <v>175916.96719148563</v>
      </c>
      <c r="AQ49" s="10">
        <f t="shared" si="70"/>
        <v>0</v>
      </c>
      <c r="AR49" s="10">
        <f>IF(AB49=1,IF(Q49="tak",AQ49,PMT(M49/12,P49+1-SUM(AB$5:AB49),AP49)),0)</f>
        <v>0</v>
      </c>
      <c r="AS49" s="10">
        <f t="shared" si="71"/>
        <v>0</v>
      </c>
      <c r="AT49" s="10">
        <f t="shared" si="72"/>
        <v>0</v>
      </c>
      <c r="AV49" s="11">
        <f>AV$5+SUM(AX$5:AX48)+SUM(W$5:W48)-SUM(X$5:X48)</f>
        <v>175916.96719148563</v>
      </c>
      <c r="AW49" s="11">
        <f t="shared" si="73"/>
        <v>0</v>
      </c>
      <c r="AX49" s="11">
        <f t="shared" si="74"/>
        <v>0</v>
      </c>
      <c r="AY49" s="11">
        <f t="shared" si="75"/>
        <v>0</v>
      </c>
      <c r="AZ49" s="11">
        <f t="shared" si="76"/>
        <v>0</v>
      </c>
      <c r="BB49" s="191">
        <f t="shared" si="4"/>
        <v>0.0451</v>
      </c>
      <c r="BC49" s="44">
        <f>BB49+Podsumowanie!$E$6</f>
        <v>0.0571</v>
      </c>
      <c r="BD49" s="11">
        <f>BD$5+SUM(BE$5:BE48)+SUM(R$5:R48)-SUM(S$5:S48)</f>
        <v>400000</v>
      </c>
      <c r="BE49" s="10">
        <f t="shared" si="77"/>
        <v>0</v>
      </c>
      <c r="BF49" s="10">
        <f t="shared" si="78"/>
        <v>0</v>
      </c>
      <c r="BG49" s="10">
        <f>IF(U49&lt;0,PMT(BC49/12,Podsumowanie!E$8-SUM(AB$5:AB49)+1,BD49),0)</f>
        <v>0</v>
      </c>
      <c r="BI49" s="11">
        <f>BI$5+SUM(BK$5:BK48)+SUM(R$5:R48)-SUM(S$5:S48)</f>
        <v>400000</v>
      </c>
      <c r="BJ49" s="11">
        <f t="shared" si="5"/>
        <v>0</v>
      </c>
      <c r="BK49" s="11">
        <f t="shared" si="6"/>
        <v>0</v>
      </c>
      <c r="BL49" s="11">
        <f t="shared" si="7"/>
        <v>0</v>
      </c>
      <c r="BN49" s="44">
        <f t="shared" si="8"/>
        <v>0.0572</v>
      </c>
      <c r="BO49" s="11">
        <f>BO$5+SUM(BP$5:BP48)+SUM(R$5:R48)-SUM(S$5:S48)+SUM(BS$5:BS48)</f>
        <v>400000</v>
      </c>
      <c r="BP49" s="10">
        <f t="shared" si="46"/>
        <v>0</v>
      </c>
      <c r="BQ49" s="10">
        <f t="shared" si="47"/>
        <v>0</v>
      </c>
      <c r="BR49" s="10">
        <f>IF(U49&lt;0,PMT(BN49/12,Podsumowanie!E$8-SUM(AB$5:AB49)+1,BO49),0)</f>
        <v>0</v>
      </c>
      <c r="BS49" s="10">
        <f t="shared" si="41"/>
        <v>0</v>
      </c>
      <c r="BU49" s="11">
        <f>BU$5+SUM(BW$5:BW48)+SUM(R$5:R48)-SUM(S$5:S48)+SUM(BY$5,BY48)</f>
        <v>400000</v>
      </c>
      <c r="BV49" s="10">
        <f t="shared" si="9"/>
        <v>0</v>
      </c>
      <c r="BW49" s="10">
        <f t="shared" si="10"/>
        <v>0</v>
      </c>
      <c r="BX49" s="10">
        <f t="shared" si="48"/>
        <v>0</v>
      </c>
      <c r="BY49" s="10">
        <f t="shared" si="49"/>
        <v>0</v>
      </c>
      <c r="CA49" s="10">
        <f>CA$5+SUM(CB$5:CB48)+SUM(R$5:R48)-SUM(S$5:S48)-SUM(CC$5:CC48)</f>
        <v>400000</v>
      </c>
      <c r="CB49" s="10">
        <f t="shared" si="42"/>
        <v>0</v>
      </c>
      <c r="CC49" s="10">
        <f t="shared" si="43"/>
        <v>0</v>
      </c>
      <c r="CD49" s="10">
        <f t="shared" si="44"/>
        <v>0</v>
      </c>
      <c r="CF49" s="44">
        <f t="shared" si="11"/>
        <v>0.8283</v>
      </c>
      <c r="CG49" s="10">
        <f t="shared" si="45"/>
        <v>0</v>
      </c>
      <c r="CH49" s="4">
        <f t="shared" si="50"/>
        <v>0</v>
      </c>
    </row>
    <row r="50" spans="1:86" ht="15.75">
      <c r="A50" s="36"/>
      <c r="B50" s="37">
        <v>38626</v>
      </c>
      <c r="C50" s="77">
        <f t="shared" si="1"/>
        <v>2.5343</v>
      </c>
      <c r="D50" s="78">
        <f>C50*(1+Podsumowanie!E$11)</f>
        <v>2.610329</v>
      </c>
      <c r="E50" s="34">
        <f t="shared" si="51"/>
        <v>0</v>
      </c>
      <c r="F50" s="7">
        <f t="shared" si="52"/>
        <v>0</v>
      </c>
      <c r="G50" s="7">
        <f t="shared" si="53"/>
        <v>0</v>
      </c>
      <c r="H50" s="7">
        <f t="shared" si="54"/>
        <v>0</v>
      </c>
      <c r="I50" s="32"/>
      <c r="J50" s="4" t="str">
        <f t="shared" si="55"/>
        <v xml:space="preserve"> </v>
      </c>
      <c r="K50" s="4">
        <f>IF(B50&lt;Podsumowanie!E$7,0,K49+1)</f>
        <v>0</v>
      </c>
      <c r="L50" s="100">
        <f t="shared" si="2"/>
        <v>0.007983</v>
      </c>
      <c r="M50" s="38">
        <f>L50+Podsumowanie!E$6</f>
        <v>0.019983</v>
      </c>
      <c r="N50" s="101">
        <f>MAX(Podsumowanie!E$4+SUM(AA$5:AA49)-SUM(X$5:X50)+SUM(W$5:W50),0)</f>
        <v>181357.6981355522</v>
      </c>
      <c r="O50" s="102">
        <f>MAX(Podsumowanie!E$2+SUM(V$5:V49)-SUM(S$5:S50)+SUM(R$5:R50),0)</f>
        <v>400000</v>
      </c>
      <c r="P50" s="39">
        <f t="shared" si="56"/>
        <v>360</v>
      </c>
      <c r="Q50" s="40" t="str">
        <f>IF(AND(K50&gt;0,K50&lt;=Podsumowanie!E$9),"tak","nie")</f>
        <v>nie</v>
      </c>
      <c r="R50" s="41"/>
      <c r="S50" s="42"/>
      <c r="T50" s="88">
        <f t="shared" si="57"/>
        <v>0</v>
      </c>
      <c r="U50" s="89">
        <f>IF(Q50="tak",T50,IF(P50-SUM(AB$5:AB50)+1&gt;0,IF(Podsumowanie!E$7&lt;B50,IF(SUM(AB$5:AB50)-Podsumowanie!E$9+1&gt;0,PMT(M50/12,P50+1-SUM(AB$5:AB50),O50),T50),0),0))</f>
        <v>0</v>
      </c>
      <c r="V50" s="89">
        <f t="shared" si="58"/>
        <v>0</v>
      </c>
      <c r="W50" s="90" t="str">
        <f>IF(R50&gt;0,R50/(C50*(1-Podsumowanie!E$11))," ")</f>
        <v xml:space="preserve"> </v>
      </c>
      <c r="X50" s="90" t="str">
        <f t="shared" si="59"/>
        <v xml:space="preserve"> </v>
      </c>
      <c r="Y50" s="91">
        <f t="shared" si="3"/>
        <v>0</v>
      </c>
      <c r="Z50" s="90">
        <f>IF(P50-SUM(AB$5:AB50)+1&gt;0,IF(Podsumowanie!E$7&lt;B50,IF(SUM(AB$5:AB50)-Podsumowanie!E$9+1&gt;0,PMT(M50/12,P50+1-SUM(AB$5:AB50),N50),Y50),0),0)</f>
        <v>0</v>
      </c>
      <c r="AA50" s="90">
        <f t="shared" si="60"/>
        <v>0</v>
      </c>
      <c r="AB50" s="8" t="str">
        <f>IF(AND(Podsumowanie!E$7&lt;B50,SUM(AB$5:AB49)&lt;P49),1," ")</f>
        <v xml:space="preserve"> </v>
      </c>
      <c r="AD50" s="10">
        <f>Podsumowanie!E$4-SUM(AF$5:AF49)+SUM(W$42:W50)-SUM(X$42:X50)</f>
        <v>181357.6981355522</v>
      </c>
      <c r="AE50" s="10">
        <f t="shared" si="61"/>
        <v>0</v>
      </c>
      <c r="AF50" s="10">
        <f t="shared" si="62"/>
        <v>0</v>
      </c>
      <c r="AG50" s="10">
        <f t="shared" si="63"/>
        <v>0</v>
      </c>
      <c r="AH50" s="10">
        <f t="shared" si="64"/>
        <v>0</v>
      </c>
      <c r="AI50" s="10">
        <f>Podsumowanie!E$2-SUM(AK$5:AK49)+SUM(R$42:R50)-SUM(S$42:S50)</f>
        <v>400000</v>
      </c>
      <c r="AJ50" s="10">
        <f t="shared" si="65"/>
        <v>0</v>
      </c>
      <c r="AK50" s="10">
        <f t="shared" si="66"/>
        <v>0</v>
      </c>
      <c r="AL50" s="10">
        <f t="shared" si="67"/>
        <v>0</v>
      </c>
      <c r="AM50" s="10">
        <f t="shared" si="68"/>
        <v>0</v>
      </c>
      <c r="AO50" s="43">
        <f t="shared" si="69"/>
        <v>38626</v>
      </c>
      <c r="AP50" s="11">
        <f>AP$5+SUM(AS$5:AS49)-SUM(X$5:X50)+SUM(W$5:W50)</f>
        <v>175916.96719148563</v>
      </c>
      <c r="AQ50" s="10">
        <f t="shared" si="70"/>
        <v>0</v>
      </c>
      <c r="AR50" s="10">
        <f>IF(AB50=1,IF(Q50="tak",AQ50,PMT(M50/12,P50+1-SUM(AB$5:AB50),AP50)),0)</f>
        <v>0</v>
      </c>
      <c r="AS50" s="10">
        <f t="shared" si="71"/>
        <v>0</v>
      </c>
      <c r="AT50" s="10">
        <f t="shared" si="72"/>
        <v>0</v>
      </c>
      <c r="AV50" s="11">
        <f>AV$5+SUM(AX$5:AX49)+SUM(W$5:W49)-SUM(X$5:X49)</f>
        <v>175916.96719148563</v>
      </c>
      <c r="AW50" s="11">
        <f t="shared" si="73"/>
        <v>0</v>
      </c>
      <c r="AX50" s="11">
        <f t="shared" si="74"/>
        <v>0</v>
      </c>
      <c r="AY50" s="11">
        <f t="shared" si="75"/>
        <v>0</v>
      </c>
      <c r="AZ50" s="11">
        <f t="shared" si="76"/>
        <v>0</v>
      </c>
      <c r="BB50" s="191">
        <f t="shared" si="4"/>
        <v>0.0455</v>
      </c>
      <c r="BC50" s="44">
        <f>BB50+Podsumowanie!$E$6</f>
        <v>0.057499999999999996</v>
      </c>
      <c r="BD50" s="11">
        <f>BD$5+SUM(BE$5:BE49)+SUM(R$5:R49)-SUM(S$5:S49)</f>
        <v>400000</v>
      </c>
      <c r="BE50" s="10">
        <f t="shared" si="77"/>
        <v>0</v>
      </c>
      <c r="BF50" s="10">
        <f t="shared" si="78"/>
        <v>0</v>
      </c>
      <c r="BG50" s="10">
        <f>IF(U50&lt;0,PMT(BC50/12,Podsumowanie!E$8-SUM(AB$5:AB50)+1,BD50),0)</f>
        <v>0</v>
      </c>
      <c r="BI50" s="11">
        <f>BI$5+SUM(BK$5:BK49)+SUM(R$5:R49)-SUM(S$5:S49)</f>
        <v>400000</v>
      </c>
      <c r="BJ50" s="11">
        <f t="shared" si="5"/>
        <v>0</v>
      </c>
      <c r="BK50" s="11">
        <f t="shared" si="6"/>
        <v>0</v>
      </c>
      <c r="BL50" s="11">
        <f t="shared" si="7"/>
        <v>0</v>
      </c>
      <c r="BN50" s="44">
        <f t="shared" si="8"/>
        <v>0.0576</v>
      </c>
      <c r="BO50" s="11">
        <f>BO$5+SUM(BP$5:BP49)+SUM(R$5:R49)-SUM(S$5:S49)+SUM(BS$5:BS49)</f>
        <v>400000</v>
      </c>
      <c r="BP50" s="10">
        <f t="shared" si="46"/>
        <v>0</v>
      </c>
      <c r="BQ50" s="10">
        <f t="shared" si="47"/>
        <v>0</v>
      </c>
      <c r="BR50" s="10">
        <f>IF(U50&lt;0,PMT(BN50/12,Podsumowanie!E$8-SUM(AB$5:AB50)+1,BO50),0)</f>
        <v>0</v>
      </c>
      <c r="BS50" s="10">
        <f t="shared" si="41"/>
        <v>0</v>
      </c>
      <c r="BU50" s="11">
        <f>BU$5+SUM(BW$5:BW49)+SUM(R$5:R49)-SUM(S$5:S49)+SUM(BY$5,BY49)</f>
        <v>400000</v>
      </c>
      <c r="BV50" s="10">
        <f t="shared" si="9"/>
        <v>0</v>
      </c>
      <c r="BW50" s="10">
        <f t="shared" si="10"/>
        <v>0</v>
      </c>
      <c r="BX50" s="10">
        <f t="shared" si="48"/>
        <v>0</v>
      </c>
      <c r="BY50" s="10">
        <f t="shared" si="49"/>
        <v>0</v>
      </c>
      <c r="CA50" s="10">
        <f>CA$5+SUM(CB$5:CB49)+SUM(R$5:R49)-SUM(S$5:S49)-SUM(CC$5:CC49)</f>
        <v>400000</v>
      </c>
      <c r="CB50" s="10">
        <f t="shared" si="42"/>
        <v>0</v>
      </c>
      <c r="CC50" s="10">
        <f t="shared" si="43"/>
        <v>0</v>
      </c>
      <c r="CD50" s="10">
        <f t="shared" si="44"/>
        <v>0</v>
      </c>
      <c r="CF50" s="44">
        <f t="shared" si="11"/>
        <v>0.821</v>
      </c>
      <c r="CG50" s="10">
        <f t="shared" si="45"/>
        <v>0</v>
      </c>
      <c r="CH50" s="4">
        <f t="shared" si="50"/>
        <v>0</v>
      </c>
    </row>
    <row r="51" spans="1:86" ht="15.75">
      <c r="A51" s="36"/>
      <c r="B51" s="37">
        <v>38657</v>
      </c>
      <c r="C51" s="77">
        <f t="shared" si="1"/>
        <v>2.5703</v>
      </c>
      <c r="D51" s="78">
        <f>C51*(1+Podsumowanie!E$11)</f>
        <v>2.647409</v>
      </c>
      <c r="E51" s="34">
        <f t="shared" si="51"/>
        <v>0</v>
      </c>
      <c r="F51" s="7">
        <f t="shared" si="52"/>
        <v>0</v>
      </c>
      <c r="G51" s="7">
        <f t="shared" si="53"/>
        <v>0</v>
      </c>
      <c r="H51" s="7">
        <f t="shared" si="54"/>
        <v>0</v>
      </c>
      <c r="I51" s="32"/>
      <c r="J51" s="4" t="str">
        <f t="shared" si="55"/>
        <v xml:space="preserve"> </v>
      </c>
      <c r="K51" s="4">
        <f>IF(B51&lt;Podsumowanie!E$7,0,K50+1)</f>
        <v>0</v>
      </c>
      <c r="L51" s="100">
        <f t="shared" si="2"/>
        <v>0.0087</v>
      </c>
      <c r="M51" s="38">
        <f>L51+Podsumowanie!E$6</f>
        <v>0.0207</v>
      </c>
      <c r="N51" s="101">
        <f>MAX(Podsumowanie!E$4+SUM(AA$5:AA50)-SUM(X$5:X51)+SUM(W$5:W51),0)</f>
        <v>181357.6981355522</v>
      </c>
      <c r="O51" s="102">
        <f>MAX(Podsumowanie!E$2+SUM(V$5:V50)-SUM(S$5:S51)+SUM(R$5:R51),0)</f>
        <v>400000</v>
      </c>
      <c r="P51" s="39">
        <f t="shared" si="56"/>
        <v>360</v>
      </c>
      <c r="Q51" s="40" t="str">
        <f>IF(AND(K51&gt;0,K51&lt;=Podsumowanie!E$9),"tak","nie")</f>
        <v>nie</v>
      </c>
      <c r="R51" s="41"/>
      <c r="S51" s="42"/>
      <c r="T51" s="88">
        <f t="shared" si="57"/>
        <v>0</v>
      </c>
      <c r="U51" s="89">
        <f>IF(Q51="tak",T51,IF(P51-SUM(AB$5:AB51)+1&gt;0,IF(Podsumowanie!E$7&lt;B51,IF(SUM(AB$5:AB51)-Podsumowanie!E$9+1&gt;0,PMT(M51/12,P51+1-SUM(AB$5:AB51),O51),T51),0),0))</f>
        <v>0</v>
      </c>
      <c r="V51" s="89">
        <f t="shared" si="58"/>
        <v>0</v>
      </c>
      <c r="W51" s="90" t="str">
        <f>IF(R51&gt;0,R51/(C51*(1-Podsumowanie!E$11))," ")</f>
        <v xml:space="preserve"> </v>
      </c>
      <c r="X51" s="90" t="str">
        <f t="shared" si="59"/>
        <v xml:space="preserve"> </v>
      </c>
      <c r="Y51" s="91">
        <f t="shared" si="3"/>
        <v>0</v>
      </c>
      <c r="Z51" s="90">
        <f>IF(P51-SUM(AB$5:AB51)+1&gt;0,IF(Podsumowanie!E$7&lt;B51,IF(SUM(AB$5:AB51)-Podsumowanie!E$9+1&gt;0,PMT(M51/12,P51+1-SUM(AB$5:AB51),N51),Y51),0),0)</f>
        <v>0</v>
      </c>
      <c r="AA51" s="90">
        <f t="shared" si="60"/>
        <v>0</v>
      </c>
      <c r="AB51" s="8" t="str">
        <f>IF(AND(Podsumowanie!E$7&lt;B51,SUM(AB$5:AB50)&lt;P50),1," ")</f>
        <v xml:space="preserve"> </v>
      </c>
      <c r="AD51" s="10">
        <f>Podsumowanie!E$4-SUM(AF$5:AF50)+SUM(W$42:W51)-SUM(X$42:X51)</f>
        <v>181357.6981355522</v>
      </c>
      <c r="AE51" s="10">
        <f t="shared" si="61"/>
        <v>0</v>
      </c>
      <c r="AF51" s="10">
        <f t="shared" si="62"/>
        <v>0</v>
      </c>
      <c r="AG51" s="10">
        <f t="shared" si="63"/>
        <v>0</v>
      </c>
      <c r="AH51" s="10">
        <f t="shared" si="64"/>
        <v>0</v>
      </c>
      <c r="AI51" s="10">
        <f>Podsumowanie!E$2-SUM(AK$5:AK50)+SUM(R$42:R51)-SUM(S$42:S51)</f>
        <v>400000</v>
      </c>
      <c r="AJ51" s="10">
        <f t="shared" si="65"/>
        <v>0</v>
      </c>
      <c r="AK51" s="10">
        <f t="shared" si="66"/>
        <v>0</v>
      </c>
      <c r="AL51" s="10">
        <f t="shared" si="67"/>
        <v>0</v>
      </c>
      <c r="AM51" s="10">
        <f t="shared" si="68"/>
        <v>0</v>
      </c>
      <c r="AO51" s="43">
        <f t="shared" si="69"/>
        <v>38657</v>
      </c>
      <c r="AP51" s="11">
        <f>AP$5+SUM(AS$5:AS50)-SUM(X$5:X51)+SUM(W$5:W51)</f>
        <v>175916.96719148563</v>
      </c>
      <c r="AQ51" s="10">
        <f t="shared" si="70"/>
        <v>0</v>
      </c>
      <c r="AR51" s="10">
        <f>IF(AB51=1,IF(Q51="tak",AQ51,PMT(M51/12,P51+1-SUM(AB$5:AB51),AP51)),0)</f>
        <v>0</v>
      </c>
      <c r="AS51" s="10">
        <f t="shared" si="71"/>
        <v>0</v>
      </c>
      <c r="AT51" s="10">
        <f t="shared" si="72"/>
        <v>0</v>
      </c>
      <c r="AV51" s="11">
        <f>AV$5+SUM(AX$5:AX50)+SUM(W$5:W50)-SUM(X$5:X50)</f>
        <v>175916.96719148563</v>
      </c>
      <c r="AW51" s="11">
        <f t="shared" si="73"/>
        <v>0</v>
      </c>
      <c r="AX51" s="11">
        <f t="shared" si="74"/>
        <v>0</v>
      </c>
      <c r="AY51" s="11">
        <f t="shared" si="75"/>
        <v>0</v>
      </c>
      <c r="AZ51" s="11">
        <f t="shared" si="76"/>
        <v>0</v>
      </c>
      <c r="BB51" s="191">
        <f t="shared" si="4"/>
        <v>0.0464</v>
      </c>
      <c r="BC51" s="44">
        <f>BB51+Podsumowanie!$E$6</f>
        <v>0.058399999999999994</v>
      </c>
      <c r="BD51" s="11">
        <f>BD$5+SUM(BE$5:BE50)+SUM(R$5:R50)-SUM(S$5:S50)</f>
        <v>400000</v>
      </c>
      <c r="BE51" s="10">
        <f t="shared" si="77"/>
        <v>0</v>
      </c>
      <c r="BF51" s="10">
        <f t="shared" si="78"/>
        <v>0</v>
      </c>
      <c r="BG51" s="10">
        <f>IF(U51&lt;0,PMT(BC51/12,Podsumowanie!E$8-SUM(AB$5:AB51)+1,BD51),0)</f>
        <v>0</v>
      </c>
      <c r="BI51" s="11">
        <f>BI$5+SUM(BK$5:BK50)+SUM(R$5:R50)-SUM(S$5:S50)</f>
        <v>400000</v>
      </c>
      <c r="BJ51" s="11">
        <f t="shared" si="5"/>
        <v>0</v>
      </c>
      <c r="BK51" s="11">
        <f t="shared" si="6"/>
        <v>0</v>
      </c>
      <c r="BL51" s="11">
        <f t="shared" si="7"/>
        <v>0</v>
      </c>
      <c r="BN51" s="44">
        <f t="shared" si="8"/>
        <v>0.058499999999999996</v>
      </c>
      <c r="BO51" s="11">
        <f>BO$5+SUM(BP$5:BP50)+SUM(R$5:R50)-SUM(S$5:S50)+SUM(BS$5:BS50)</f>
        <v>400000</v>
      </c>
      <c r="BP51" s="10">
        <f t="shared" si="46"/>
        <v>0</v>
      </c>
      <c r="BQ51" s="10">
        <f t="shared" si="47"/>
        <v>0</v>
      </c>
      <c r="BR51" s="10">
        <f>IF(U51&lt;0,PMT(BN51/12,Podsumowanie!E$8-SUM(AB$5:AB51)+1,BO51),0)</f>
        <v>0</v>
      </c>
      <c r="BS51" s="10">
        <f t="shared" si="41"/>
        <v>0</v>
      </c>
      <c r="BU51" s="11">
        <f>BU$5+SUM(BW$5:BW50)+SUM(R$5:R50)-SUM(S$5:S50)+SUM(BY$5,BY50)</f>
        <v>400000</v>
      </c>
      <c r="BV51" s="10">
        <f t="shared" si="9"/>
        <v>0</v>
      </c>
      <c r="BW51" s="10">
        <f t="shared" si="10"/>
        <v>0</v>
      </c>
      <c r="BX51" s="10">
        <f t="shared" si="48"/>
        <v>0</v>
      </c>
      <c r="BY51" s="10">
        <f t="shared" si="49"/>
        <v>0</v>
      </c>
      <c r="CA51" s="10">
        <f>CA$5+SUM(CB$5:CB50)+SUM(R$5:R50)-SUM(S$5:S50)-SUM(CC$5:CC50)</f>
        <v>400000</v>
      </c>
      <c r="CB51" s="10">
        <f t="shared" si="42"/>
        <v>0</v>
      </c>
      <c r="CC51" s="10">
        <f t="shared" si="43"/>
        <v>0</v>
      </c>
      <c r="CD51" s="10">
        <f t="shared" si="44"/>
        <v>0</v>
      </c>
      <c r="CF51" s="44">
        <f t="shared" si="11"/>
        <v>0.8246</v>
      </c>
      <c r="CG51" s="10">
        <f t="shared" si="45"/>
        <v>0</v>
      </c>
      <c r="CH51" s="4">
        <f t="shared" si="50"/>
        <v>0</v>
      </c>
    </row>
    <row r="52" spans="1:86" ht="15.75">
      <c r="A52" s="36"/>
      <c r="B52" s="37">
        <v>38687</v>
      </c>
      <c r="C52" s="77">
        <f t="shared" si="1"/>
        <v>2.4909</v>
      </c>
      <c r="D52" s="78">
        <f>C52*(1+Podsumowanie!E$11)</f>
        <v>2.565627</v>
      </c>
      <c r="E52" s="34">
        <f t="shared" si="51"/>
        <v>0</v>
      </c>
      <c r="F52" s="7">
        <f t="shared" si="52"/>
        <v>0</v>
      </c>
      <c r="G52" s="7">
        <f t="shared" si="53"/>
        <v>0</v>
      </c>
      <c r="H52" s="7">
        <f t="shared" si="54"/>
        <v>0</v>
      </c>
      <c r="I52" s="32"/>
      <c r="J52" s="4" t="str">
        <f t="shared" si="55"/>
        <v xml:space="preserve"> </v>
      </c>
      <c r="K52" s="4">
        <f>IF(B52&lt;Podsumowanie!E$7,0,K51+1)</f>
        <v>0</v>
      </c>
      <c r="L52" s="100">
        <f t="shared" si="2"/>
        <v>0.010417</v>
      </c>
      <c r="M52" s="38">
        <f>L52+Podsumowanie!E$6</f>
        <v>0.022417</v>
      </c>
      <c r="N52" s="101">
        <f>MAX(Podsumowanie!E$4+SUM(AA$5:AA51)-SUM(X$5:X52)+SUM(W$5:W52),0)</f>
        <v>181357.6981355522</v>
      </c>
      <c r="O52" s="102">
        <f>MAX(Podsumowanie!E$2+SUM(V$5:V51)-SUM(S$5:S52)+SUM(R$5:R52),0)</f>
        <v>400000</v>
      </c>
      <c r="P52" s="39">
        <f t="shared" si="56"/>
        <v>360</v>
      </c>
      <c r="Q52" s="40" t="str">
        <f>IF(AND(K52&gt;0,K52&lt;=Podsumowanie!E$9),"tak","nie")</f>
        <v>nie</v>
      </c>
      <c r="R52" s="41"/>
      <c r="S52" s="42"/>
      <c r="T52" s="88">
        <f t="shared" si="57"/>
        <v>0</v>
      </c>
      <c r="U52" s="89">
        <f>IF(Q52="tak",T52,IF(P52-SUM(AB$5:AB52)+1&gt;0,IF(Podsumowanie!E$7&lt;B52,IF(SUM(AB$5:AB52)-Podsumowanie!E$9+1&gt;0,PMT(M52/12,P52+1-SUM(AB$5:AB52),O52),T52),0),0))</f>
        <v>0</v>
      </c>
      <c r="V52" s="89">
        <f t="shared" si="58"/>
        <v>0</v>
      </c>
      <c r="W52" s="90" t="str">
        <f>IF(R52&gt;0,R52/(C52*(1-Podsumowanie!E$11))," ")</f>
        <v xml:space="preserve"> </v>
      </c>
      <c r="X52" s="90" t="str">
        <f t="shared" si="59"/>
        <v xml:space="preserve"> </v>
      </c>
      <c r="Y52" s="91">
        <f t="shared" si="3"/>
        <v>0</v>
      </c>
      <c r="Z52" s="90">
        <f>IF(P52-SUM(AB$5:AB52)+1&gt;0,IF(Podsumowanie!E$7&lt;B52,IF(SUM(AB$5:AB52)-Podsumowanie!E$9+1&gt;0,PMT(M52/12,P52+1-SUM(AB$5:AB52),N52),Y52),0),0)</f>
        <v>0</v>
      </c>
      <c r="AA52" s="90">
        <f aca="true" t="shared" si="79" ref="AA52:AA115">Z52-Y52</f>
        <v>0</v>
      </c>
      <c r="AB52" s="8" t="str">
        <f>IF(AND(Podsumowanie!E$7&lt;B52,SUM(AB$5:AB51)&lt;P51),1," ")</f>
        <v xml:space="preserve"> </v>
      </c>
      <c r="AD52" s="10">
        <f>Podsumowanie!E$4-SUM(AF$5:AF51)+SUM(W$42:W52)-SUM(X$42:X52)</f>
        <v>181357.6981355522</v>
      </c>
      <c r="AE52" s="10">
        <f t="shared" si="61"/>
        <v>0</v>
      </c>
      <c r="AF52" s="10">
        <f t="shared" si="62"/>
        <v>0</v>
      </c>
      <c r="AG52" s="10">
        <f t="shared" si="63"/>
        <v>0</v>
      </c>
      <c r="AH52" s="10">
        <f t="shared" si="64"/>
        <v>0</v>
      </c>
      <c r="AI52" s="10">
        <f>Podsumowanie!E$2-SUM(AK$5:AK51)+SUM(R$42:R52)-SUM(S$42:S52)</f>
        <v>400000</v>
      </c>
      <c r="AJ52" s="10">
        <f t="shared" si="65"/>
        <v>0</v>
      </c>
      <c r="AK52" s="10">
        <f t="shared" si="66"/>
        <v>0</v>
      </c>
      <c r="AL52" s="10">
        <f t="shared" si="67"/>
        <v>0</v>
      </c>
      <c r="AM52" s="10">
        <f t="shared" si="68"/>
        <v>0</v>
      </c>
      <c r="AO52" s="43">
        <f t="shared" si="69"/>
        <v>38687</v>
      </c>
      <c r="AP52" s="11">
        <f>AP$5+SUM(AS$5:AS51)-SUM(X$5:X52)+SUM(W$5:W52)</f>
        <v>175916.96719148563</v>
      </c>
      <c r="AQ52" s="10">
        <f t="shared" si="70"/>
        <v>0</v>
      </c>
      <c r="AR52" s="10">
        <f>IF(AB52=1,IF(Q52="tak",AQ52,PMT(M52/12,P52+1-SUM(AB$5:AB52),AP52)),0)</f>
        <v>0</v>
      </c>
      <c r="AS52" s="10">
        <f t="shared" si="71"/>
        <v>0</v>
      </c>
      <c r="AT52" s="10">
        <f t="shared" si="72"/>
        <v>0</v>
      </c>
      <c r="AV52" s="11">
        <f>AV$5+SUM(AX$5:AX51)+SUM(W$5:W51)-SUM(X$5:X51)</f>
        <v>175916.96719148563</v>
      </c>
      <c r="AW52" s="11">
        <f t="shared" si="73"/>
        <v>0</v>
      </c>
      <c r="AX52" s="11">
        <f t="shared" si="74"/>
        <v>0</v>
      </c>
      <c r="AY52" s="11">
        <f t="shared" si="75"/>
        <v>0</v>
      </c>
      <c r="AZ52" s="11">
        <f t="shared" si="76"/>
        <v>0</v>
      </c>
      <c r="BB52" s="191">
        <f t="shared" si="4"/>
        <v>0.0462</v>
      </c>
      <c r="BC52" s="44">
        <f>BB52+Podsumowanie!$E$6</f>
        <v>0.0582</v>
      </c>
      <c r="BD52" s="11">
        <f>BD$5+SUM(BE$5:BE51)+SUM(R$5:R51)-SUM(S$5:S51)</f>
        <v>400000</v>
      </c>
      <c r="BE52" s="10">
        <f aca="true" t="shared" si="80" ref="BE52:BE115">IF(BG52&lt;0,BG52-BF52,0)</f>
        <v>0</v>
      </c>
      <c r="BF52" s="10">
        <f t="shared" si="78"/>
        <v>0</v>
      </c>
      <c r="BG52" s="10">
        <f>IF(U52&lt;0,PMT(BC52/12,Podsumowanie!E$8-SUM(AB$5:AB52)+1,BD52),0)</f>
        <v>0</v>
      </c>
      <c r="BI52" s="11">
        <f>BI$5+SUM(BK$5:BK51)+SUM(R$5:R51)-SUM(S$5:S51)</f>
        <v>400000</v>
      </c>
      <c r="BJ52" s="11">
        <f t="shared" si="5"/>
        <v>0</v>
      </c>
      <c r="BK52" s="11">
        <f t="shared" si="6"/>
        <v>0</v>
      </c>
      <c r="BL52" s="11">
        <f t="shared" si="7"/>
        <v>0</v>
      </c>
      <c r="BN52" s="44">
        <f t="shared" si="8"/>
        <v>0.0583</v>
      </c>
      <c r="BO52" s="11">
        <f>BO$5+SUM(BP$5:BP51)+SUM(R$5:R51)-SUM(S$5:S51)+SUM(BS$5:BS51)</f>
        <v>400000</v>
      </c>
      <c r="BP52" s="10">
        <f t="shared" si="46"/>
        <v>0</v>
      </c>
      <c r="BQ52" s="10">
        <f t="shared" si="47"/>
        <v>0</v>
      </c>
      <c r="BR52" s="10">
        <f>IF(U52&lt;0,PMT(BN52/12,Podsumowanie!E$8-SUM(AB$5:AB52)+1,BO52),0)</f>
        <v>0</v>
      </c>
      <c r="BS52" s="10">
        <f t="shared" si="41"/>
        <v>0</v>
      </c>
      <c r="BU52" s="11">
        <f>BU$5+SUM(BW$5:BW51)+SUM(R$5:R51)-SUM(S$5:S51)+SUM(BY$5,BY51)</f>
        <v>400000</v>
      </c>
      <c r="BV52" s="10">
        <f t="shared" si="9"/>
        <v>0</v>
      </c>
      <c r="BW52" s="10">
        <f t="shared" si="10"/>
        <v>0</v>
      </c>
      <c r="BX52" s="10">
        <f t="shared" si="48"/>
        <v>0</v>
      </c>
      <c r="BY52" s="10">
        <f t="shared" si="49"/>
        <v>0</v>
      </c>
      <c r="CA52" s="10">
        <f>CA$5+SUM(CB$5:CB51)+SUM(R$5:R51)-SUM(S$5:S51)-SUM(CC$5:CC51)</f>
        <v>400000</v>
      </c>
      <c r="CB52" s="10">
        <f t="shared" si="42"/>
        <v>0</v>
      </c>
      <c r="CC52" s="10">
        <f t="shared" si="43"/>
        <v>0</v>
      </c>
      <c r="CD52" s="10">
        <f t="shared" si="44"/>
        <v>0</v>
      </c>
      <c r="CF52" s="44">
        <f t="shared" si="11"/>
        <v>0.8283</v>
      </c>
      <c r="CG52" s="10">
        <f t="shared" si="45"/>
        <v>0</v>
      </c>
      <c r="CH52" s="4">
        <f t="shared" si="50"/>
        <v>0</v>
      </c>
    </row>
    <row r="53" spans="1:86" ht="15.75">
      <c r="A53" s="36">
        <v>2006</v>
      </c>
      <c r="B53" s="37">
        <v>38718</v>
      </c>
      <c r="C53" s="77">
        <f t="shared" si="1"/>
        <v>2.4678</v>
      </c>
      <c r="D53" s="78">
        <f>C53*(1+Podsumowanie!E$11)</f>
        <v>2.541834</v>
      </c>
      <c r="E53" s="34">
        <f t="shared" si="51"/>
        <v>0</v>
      </c>
      <c r="F53" s="7">
        <f t="shared" si="52"/>
        <v>0</v>
      </c>
      <c r="G53" s="7">
        <f t="shared" si="53"/>
        <v>0</v>
      </c>
      <c r="H53" s="7">
        <f t="shared" si="54"/>
        <v>0</v>
      </c>
      <c r="I53" s="32"/>
      <c r="J53" s="4" t="str">
        <f t="shared" si="55"/>
        <v xml:space="preserve"> </v>
      </c>
      <c r="K53" s="4">
        <f>IF(B53&lt;Podsumowanie!E$7,0,K52+1)</f>
        <v>0</v>
      </c>
      <c r="L53" s="100">
        <f t="shared" si="2"/>
        <v>0.0101</v>
      </c>
      <c r="M53" s="38">
        <f>L53+Podsumowanie!E$6</f>
        <v>0.0221</v>
      </c>
      <c r="N53" s="101">
        <f>MAX(Podsumowanie!E$4+SUM(AA$5:AA52)-SUM(X$5:X53)+SUM(W$5:W53),0)</f>
        <v>181357.6981355522</v>
      </c>
      <c r="O53" s="102">
        <f>MAX(Podsumowanie!E$2+SUM(V$5:V52)-SUM(S$5:S53)+SUM(R$5:R53),0)</f>
        <v>400000</v>
      </c>
      <c r="P53" s="39">
        <f t="shared" si="56"/>
        <v>360</v>
      </c>
      <c r="Q53" s="40" t="str">
        <f>IF(AND(K53&gt;0,K53&lt;=Podsumowanie!E$9),"tak","nie")</f>
        <v>nie</v>
      </c>
      <c r="R53" s="41"/>
      <c r="S53" s="42"/>
      <c r="T53" s="88">
        <f t="shared" si="57"/>
        <v>0</v>
      </c>
      <c r="U53" s="89">
        <f>IF(Q53="tak",T53,IF(P53-SUM(AB$5:AB53)+1&gt;0,IF(Podsumowanie!E$7&lt;B53,IF(SUM(AB$5:AB53)-Podsumowanie!E$9+1&gt;0,PMT(M53/12,P53+1-SUM(AB$5:AB53),O53),T53),0),0))</f>
        <v>0</v>
      </c>
      <c r="V53" s="89">
        <f t="shared" si="58"/>
        <v>0</v>
      </c>
      <c r="W53" s="90" t="str">
        <f>IF(R53&gt;0,R53/(C53*(1-Podsumowanie!E$11))," ")</f>
        <v xml:space="preserve"> </v>
      </c>
      <c r="X53" s="90" t="str">
        <f t="shared" si="59"/>
        <v xml:space="preserve"> </v>
      </c>
      <c r="Y53" s="91">
        <f t="shared" si="3"/>
        <v>0</v>
      </c>
      <c r="Z53" s="90">
        <f>IF(P53-SUM(AB$5:AB53)+1&gt;0,IF(Podsumowanie!E$7&lt;B53,IF(SUM(AB$5:AB53)-Podsumowanie!E$9+1&gt;0,PMT(M53/12,P53+1-SUM(AB$5:AB53),N53),Y53),0),0)</f>
        <v>0</v>
      </c>
      <c r="AA53" s="90">
        <f t="shared" si="79"/>
        <v>0</v>
      </c>
      <c r="AB53" s="8" t="str">
        <f>IF(AND(Podsumowanie!E$7&lt;B53,SUM(AB$5:AB52)&lt;P52),1," ")</f>
        <v xml:space="preserve"> </v>
      </c>
      <c r="AD53" s="10">
        <f>Podsumowanie!E$4-SUM(AF$5:AF52)+SUM(W$42:W53)-SUM(X$42:X53)</f>
        <v>181357.6981355522</v>
      </c>
      <c r="AE53" s="10">
        <f t="shared" si="61"/>
        <v>0</v>
      </c>
      <c r="AF53" s="10">
        <f t="shared" si="62"/>
        <v>0</v>
      </c>
      <c r="AG53" s="10">
        <f t="shared" si="63"/>
        <v>0</v>
      </c>
      <c r="AH53" s="10">
        <f t="shared" si="64"/>
        <v>0</v>
      </c>
      <c r="AI53" s="10">
        <f>Podsumowanie!E$2-SUM(AK$5:AK52)+SUM(R$42:R53)-SUM(S$42:S53)</f>
        <v>400000</v>
      </c>
      <c r="AJ53" s="10">
        <f t="shared" si="65"/>
        <v>0</v>
      </c>
      <c r="AK53" s="10">
        <f t="shared" si="66"/>
        <v>0</v>
      </c>
      <c r="AL53" s="10">
        <f t="shared" si="67"/>
        <v>0</v>
      </c>
      <c r="AM53" s="10">
        <f t="shared" si="68"/>
        <v>0</v>
      </c>
      <c r="AO53" s="43">
        <f t="shared" si="69"/>
        <v>38718</v>
      </c>
      <c r="AP53" s="11">
        <f>AP$5+SUM(AS$5:AS52)-SUM(X$5:X53)+SUM(W$5:W53)</f>
        <v>175916.96719148563</v>
      </c>
      <c r="AQ53" s="10">
        <f t="shared" si="70"/>
        <v>0</v>
      </c>
      <c r="AR53" s="10">
        <f>IF(AB53=1,IF(Q53="tak",AQ53,PMT(M53/12,P53+1-SUM(AB$5:AB53),AP53)),0)</f>
        <v>0</v>
      </c>
      <c r="AS53" s="10">
        <f t="shared" si="71"/>
        <v>0</v>
      </c>
      <c r="AT53" s="10">
        <f t="shared" si="72"/>
        <v>0</v>
      </c>
      <c r="AV53" s="11">
        <f>AV$5+SUM(AX$5:AX52)+SUM(W$5:W52)-SUM(X$5:X52)</f>
        <v>175916.96719148563</v>
      </c>
      <c r="AW53" s="11">
        <f t="shared" si="73"/>
        <v>0</v>
      </c>
      <c r="AX53" s="11">
        <f t="shared" si="74"/>
        <v>0</v>
      </c>
      <c r="AY53" s="11">
        <f t="shared" si="75"/>
        <v>0</v>
      </c>
      <c r="AZ53" s="11">
        <f t="shared" si="76"/>
        <v>0</v>
      </c>
      <c r="BB53" s="191">
        <f t="shared" si="4"/>
        <v>0.0449</v>
      </c>
      <c r="BC53" s="44">
        <f>BB53+Podsumowanie!$E$6</f>
        <v>0.056900000000000006</v>
      </c>
      <c r="BD53" s="11">
        <f>BD$5+SUM(BE$5:BE52)+SUM(R$5:R52)-SUM(S$5:S52)</f>
        <v>400000</v>
      </c>
      <c r="BE53" s="10">
        <f t="shared" si="80"/>
        <v>0</v>
      </c>
      <c r="BF53" s="10">
        <f t="shared" si="78"/>
        <v>0</v>
      </c>
      <c r="BG53" s="10">
        <f>IF(U53&lt;0,PMT(BC53/12,Podsumowanie!E$8-SUM(AB$5:AB53)+1,BD53),0)</f>
        <v>0</v>
      </c>
      <c r="BI53" s="11">
        <f>BI$5+SUM(BK$5:BK52)+SUM(R$5:R52)-SUM(S$5:S52)</f>
        <v>400000</v>
      </c>
      <c r="BJ53" s="11">
        <f t="shared" si="5"/>
        <v>0</v>
      </c>
      <c r="BK53" s="11">
        <f t="shared" si="6"/>
        <v>0</v>
      </c>
      <c r="BL53" s="11">
        <f t="shared" si="7"/>
        <v>0</v>
      </c>
      <c r="BN53" s="44">
        <f t="shared" si="8"/>
        <v>0.057</v>
      </c>
      <c r="BO53" s="11">
        <f>BO$5+SUM(BP$5:BP52)+SUM(R$5:R52)-SUM(S$5:S52)+SUM(BS$5:BS52)</f>
        <v>400000</v>
      </c>
      <c r="BP53" s="10">
        <f t="shared" si="46"/>
        <v>0</v>
      </c>
      <c r="BQ53" s="10">
        <f t="shared" si="47"/>
        <v>0</v>
      </c>
      <c r="BR53" s="10">
        <f>IF(U53&lt;0,PMT(BN53/12,Podsumowanie!E$8-SUM(AB$5:AB53)+1,BO53),0)</f>
        <v>0</v>
      </c>
      <c r="BS53" s="10">
        <f t="shared" si="41"/>
        <v>0</v>
      </c>
      <c r="BU53" s="11">
        <f>BU$5+SUM(BW$5:BW52)+SUM(R$5:R52)-SUM(S$5:S52)+SUM(BY$5,BY52)</f>
        <v>400000</v>
      </c>
      <c r="BV53" s="10">
        <f t="shared" si="9"/>
        <v>0</v>
      </c>
      <c r="BW53" s="10">
        <f t="shared" si="10"/>
        <v>0</v>
      </c>
      <c r="BX53" s="10">
        <f t="shared" si="48"/>
        <v>0</v>
      </c>
      <c r="BY53" s="10">
        <f t="shared" si="49"/>
        <v>0</v>
      </c>
      <c r="CA53" s="10">
        <f>CA$5+SUM(CB$5:CB52)+SUM(R$5:R52)-SUM(S$5:S52)-SUM(CC$5:CC52)</f>
        <v>400000</v>
      </c>
      <c r="CB53" s="10">
        <f t="shared" si="42"/>
        <v>0</v>
      </c>
      <c r="CC53" s="10">
        <f t="shared" si="43"/>
        <v>0</v>
      </c>
      <c r="CD53" s="10">
        <f t="shared" si="44"/>
        <v>0</v>
      </c>
      <c r="CF53" s="44">
        <f t="shared" si="11"/>
        <v>0.8246</v>
      </c>
      <c r="CG53" s="10">
        <f t="shared" si="45"/>
        <v>0</v>
      </c>
      <c r="CH53" s="4">
        <f t="shared" si="50"/>
        <v>0</v>
      </c>
    </row>
    <row r="54" spans="1:86" ht="15.75">
      <c r="A54" s="36"/>
      <c r="B54" s="37">
        <v>38749</v>
      </c>
      <c r="C54" s="77">
        <f t="shared" si="1"/>
        <v>2.4352</v>
      </c>
      <c r="D54" s="78">
        <f>C54*(1+Podsumowanie!E$11)</f>
        <v>2.5082560000000003</v>
      </c>
      <c r="E54" s="34">
        <f t="shared" si="51"/>
        <v>0</v>
      </c>
      <c r="F54" s="7">
        <f aca="true" t="shared" si="81" ref="F54:F117">E54*D54</f>
        <v>0</v>
      </c>
      <c r="G54" s="7">
        <f t="shared" si="53"/>
        <v>0</v>
      </c>
      <c r="H54" s="7">
        <f aca="true" t="shared" si="82" ref="H54:H117">G54-F54</f>
        <v>0</v>
      </c>
      <c r="I54" s="32"/>
      <c r="J54" s="4" t="str">
        <f t="shared" si="55"/>
        <v xml:space="preserve"> </v>
      </c>
      <c r="K54" s="4">
        <f>IF(B54&lt;Podsumowanie!E$7,0,K53+1)</f>
        <v>0</v>
      </c>
      <c r="L54" s="100">
        <f t="shared" si="2"/>
        <v>0.0109</v>
      </c>
      <c r="M54" s="38">
        <f>L54+Podsumowanie!E$6</f>
        <v>0.0229</v>
      </c>
      <c r="N54" s="101">
        <f>MAX(Podsumowanie!E$4+SUM(AA$5:AA53)-SUM(X$5:X54)+SUM(W$5:W54),0)</f>
        <v>181357.6981355522</v>
      </c>
      <c r="O54" s="102">
        <f>MAX(Podsumowanie!E$2+SUM(V$5:V53)-SUM(S$5:S54)+SUM(R$5:R54),0)</f>
        <v>400000</v>
      </c>
      <c r="P54" s="39">
        <f t="shared" si="56"/>
        <v>360</v>
      </c>
      <c r="Q54" s="40" t="str">
        <f>IF(AND(K54&gt;0,K54&lt;=Podsumowanie!E$9),"tak","nie")</f>
        <v>nie</v>
      </c>
      <c r="R54" s="41"/>
      <c r="S54" s="42"/>
      <c r="T54" s="88">
        <f t="shared" si="57"/>
        <v>0</v>
      </c>
      <c r="U54" s="89">
        <f>IF(Q54="tak",T54,IF(P54-SUM(AB$5:AB54)+1&gt;0,IF(Podsumowanie!E$7&lt;B54,IF(SUM(AB$5:AB54)-Podsumowanie!E$9+1&gt;0,PMT(M54/12,P54+1-SUM(AB$5:AB54),O54),T54),0),0))</f>
        <v>0</v>
      </c>
      <c r="V54" s="89">
        <f t="shared" si="58"/>
        <v>0</v>
      </c>
      <c r="W54" s="90" t="str">
        <f>IF(R54&gt;0,R54/(C54*(1-Podsumowanie!E$11))," ")</f>
        <v xml:space="preserve"> </v>
      </c>
      <c r="X54" s="90" t="str">
        <f t="shared" si="59"/>
        <v xml:space="preserve"> </v>
      </c>
      <c r="Y54" s="91">
        <f t="shared" si="3"/>
        <v>0</v>
      </c>
      <c r="Z54" s="90">
        <f>IF(P54-SUM(AB$5:AB54)+1&gt;0,IF(Podsumowanie!E$7&lt;B54,IF(SUM(AB$5:AB54)-Podsumowanie!E$9+1&gt;0,PMT(M54/12,P54+1-SUM(AB$5:AB54),N54),Y54),0),0)</f>
        <v>0</v>
      </c>
      <c r="AA54" s="90">
        <f t="shared" si="79"/>
        <v>0</v>
      </c>
      <c r="AB54" s="8" t="str">
        <f>IF(AND(Podsumowanie!E$7&lt;B54,SUM(AB$5:AB53)&lt;P53),1," ")</f>
        <v xml:space="preserve"> </v>
      </c>
      <c r="AD54" s="10">
        <f>Podsumowanie!E$4-SUM(AF$5:AF53)+SUM(W$42:W54)-SUM(X$42:X54)</f>
        <v>181357.6981355522</v>
      </c>
      <c r="AE54" s="10">
        <f t="shared" si="61"/>
        <v>0</v>
      </c>
      <c r="AF54" s="10">
        <f t="shared" si="62"/>
        <v>0</v>
      </c>
      <c r="AG54" s="10">
        <f t="shared" si="63"/>
        <v>0</v>
      </c>
      <c r="AH54" s="10">
        <f t="shared" si="64"/>
        <v>0</v>
      </c>
      <c r="AI54" s="10">
        <f>Podsumowanie!E$2-SUM(AK$5:AK53)+SUM(R$42:R54)-SUM(S$42:S54)</f>
        <v>400000</v>
      </c>
      <c r="AJ54" s="10">
        <f t="shared" si="65"/>
        <v>0</v>
      </c>
      <c r="AK54" s="10">
        <f t="shared" si="66"/>
        <v>0</v>
      </c>
      <c r="AL54" s="10">
        <f t="shared" si="67"/>
        <v>0</v>
      </c>
      <c r="AM54" s="10">
        <f t="shared" si="68"/>
        <v>0</v>
      </c>
      <c r="AO54" s="43">
        <f t="shared" si="69"/>
        <v>38749</v>
      </c>
      <c r="AP54" s="11">
        <f>AP$5+SUM(AS$5:AS53)-SUM(X$5:X54)+SUM(W$5:W54)</f>
        <v>175916.96719148563</v>
      </c>
      <c r="AQ54" s="10">
        <f t="shared" si="70"/>
        <v>0</v>
      </c>
      <c r="AR54" s="10">
        <f>IF(AB54=1,IF(Q54="tak",AQ54,PMT(M54/12,P54+1-SUM(AB$5:AB54),AP54)),0)</f>
        <v>0</v>
      </c>
      <c r="AS54" s="10">
        <f t="shared" si="71"/>
        <v>0</v>
      </c>
      <c r="AT54" s="10">
        <f t="shared" si="72"/>
        <v>0</v>
      </c>
      <c r="AV54" s="11">
        <f>AV$5+SUM(AX$5:AX53)+SUM(W$5:W53)-SUM(X$5:X53)</f>
        <v>175916.96719148563</v>
      </c>
      <c r="AW54" s="11">
        <f t="shared" si="73"/>
        <v>0</v>
      </c>
      <c r="AX54" s="11">
        <f t="shared" si="74"/>
        <v>0</v>
      </c>
      <c r="AY54" s="11">
        <f t="shared" si="75"/>
        <v>0</v>
      </c>
      <c r="AZ54" s="11">
        <f t="shared" si="76"/>
        <v>0</v>
      </c>
      <c r="BB54" s="191">
        <f t="shared" si="4"/>
        <v>0.0426</v>
      </c>
      <c r="BC54" s="44">
        <f>BB54+Podsumowanie!$E$6</f>
        <v>0.054599999999999996</v>
      </c>
      <c r="BD54" s="11">
        <f>BD$5+SUM(BE$5:BE53)+SUM(R$5:R53)-SUM(S$5:S53)</f>
        <v>400000</v>
      </c>
      <c r="BE54" s="10">
        <f t="shared" si="80"/>
        <v>0</v>
      </c>
      <c r="BF54" s="10">
        <f t="shared" si="78"/>
        <v>0</v>
      </c>
      <c r="BG54" s="10">
        <f>IF(U54&lt;0,PMT(BC54/12,Podsumowanie!E$8-SUM(AB$5:AB54)+1,BD54),0)</f>
        <v>0</v>
      </c>
      <c r="BI54" s="11">
        <f>BI$5+SUM(BK$5:BK53)+SUM(R$5:R53)-SUM(S$5:S53)</f>
        <v>400000</v>
      </c>
      <c r="BJ54" s="11">
        <f t="shared" si="5"/>
        <v>0</v>
      </c>
      <c r="BK54" s="11">
        <f t="shared" si="6"/>
        <v>0</v>
      </c>
      <c r="BL54" s="11">
        <f t="shared" si="7"/>
        <v>0</v>
      </c>
      <c r="BN54" s="44">
        <f t="shared" si="8"/>
        <v>0.0547</v>
      </c>
      <c r="BO54" s="11">
        <f>BO$5+SUM(BP$5:BP53)+SUM(R$5:R53)-SUM(S$5:S53)+SUM(BS$5:BS53)</f>
        <v>400000</v>
      </c>
      <c r="BP54" s="10">
        <f t="shared" si="46"/>
        <v>0</v>
      </c>
      <c r="BQ54" s="10">
        <f t="shared" si="47"/>
        <v>0</v>
      </c>
      <c r="BR54" s="10">
        <f>IF(U54&lt;0,PMT(BN54/12,Podsumowanie!E$8-SUM(AB$5:AB54)+1,BO54),0)</f>
        <v>0</v>
      </c>
      <c r="BS54" s="10">
        <f t="shared" si="41"/>
        <v>0</v>
      </c>
      <c r="BU54" s="11">
        <f>BU$5+SUM(BW$5:BW53)+SUM(R$5:R53)-SUM(S$5:S53)+SUM(BY$5,BY53)</f>
        <v>400000</v>
      </c>
      <c r="BV54" s="10">
        <f t="shared" si="9"/>
        <v>0</v>
      </c>
      <c r="BW54" s="10">
        <f t="shared" si="10"/>
        <v>0</v>
      </c>
      <c r="BX54" s="10">
        <f t="shared" si="48"/>
        <v>0</v>
      </c>
      <c r="BY54" s="10">
        <f t="shared" si="49"/>
        <v>0</v>
      </c>
      <c r="CA54" s="10">
        <f>CA$5+SUM(CB$5:CB53)+SUM(R$5:R53)-SUM(S$5:S53)-SUM(CC$5:CC53)</f>
        <v>400000</v>
      </c>
      <c r="CB54" s="10">
        <f t="shared" si="42"/>
        <v>0</v>
      </c>
      <c r="CC54" s="10">
        <f t="shared" si="43"/>
        <v>0</v>
      </c>
      <c r="CD54" s="10">
        <f t="shared" si="44"/>
        <v>0</v>
      </c>
      <c r="CF54" s="44">
        <f t="shared" si="11"/>
        <v>0.8246</v>
      </c>
      <c r="CG54" s="10">
        <f t="shared" si="45"/>
        <v>0</v>
      </c>
      <c r="CH54" s="4">
        <f t="shared" si="50"/>
        <v>0</v>
      </c>
    </row>
    <row r="55" spans="1:86" ht="15.75">
      <c r="A55" s="36"/>
      <c r="B55" s="37">
        <v>38777</v>
      </c>
      <c r="C55" s="77">
        <f t="shared" si="1"/>
        <v>2.4696</v>
      </c>
      <c r="D55" s="78">
        <f>C55*(1+Podsumowanie!E$11)</f>
        <v>2.543688</v>
      </c>
      <c r="E55" s="34">
        <f t="shared" si="51"/>
        <v>0</v>
      </c>
      <c r="F55" s="7">
        <f t="shared" si="81"/>
        <v>0</v>
      </c>
      <c r="G55" s="7">
        <f t="shared" si="53"/>
        <v>0</v>
      </c>
      <c r="H55" s="7">
        <f t="shared" si="82"/>
        <v>0</v>
      </c>
      <c r="I55" s="32"/>
      <c r="J55" s="4" t="str">
        <f t="shared" si="55"/>
        <v xml:space="preserve"> </v>
      </c>
      <c r="K55" s="4">
        <f>IF(B55&lt;Podsumowanie!E$7,0,K54+1)</f>
        <v>0</v>
      </c>
      <c r="L55" s="100">
        <f t="shared" si="2"/>
        <v>0.0121</v>
      </c>
      <c r="M55" s="38">
        <f>L55+Podsumowanie!E$6</f>
        <v>0.0241</v>
      </c>
      <c r="N55" s="101">
        <f>MAX(Podsumowanie!E$4+SUM(AA$5:AA54)-SUM(X$5:X55)+SUM(W$5:W55),0)</f>
        <v>181357.6981355522</v>
      </c>
      <c r="O55" s="102">
        <f>MAX(Podsumowanie!E$2+SUM(V$5:V54)-SUM(S$5:S55)+SUM(R$5:R55),0)</f>
        <v>400000</v>
      </c>
      <c r="P55" s="39">
        <f t="shared" si="56"/>
        <v>360</v>
      </c>
      <c r="Q55" s="40" t="str">
        <f>IF(AND(K55&gt;0,K55&lt;=Podsumowanie!E$9),"tak","nie")</f>
        <v>nie</v>
      </c>
      <c r="R55" s="41"/>
      <c r="S55" s="42"/>
      <c r="T55" s="88">
        <f t="shared" si="57"/>
        <v>0</v>
      </c>
      <c r="U55" s="89">
        <f>IF(Q55="tak",T55,IF(P55-SUM(AB$5:AB55)+1&gt;0,IF(Podsumowanie!E$7&lt;B55,IF(SUM(AB$5:AB55)-Podsumowanie!E$9+1&gt;0,PMT(M55/12,P55+1-SUM(AB$5:AB55),O55),T55),0),0))</f>
        <v>0</v>
      </c>
      <c r="V55" s="89">
        <f t="shared" si="58"/>
        <v>0</v>
      </c>
      <c r="W55" s="90" t="str">
        <f>IF(R55&gt;0,R55/(C55*(1-Podsumowanie!E$11))," ")</f>
        <v xml:space="preserve"> </v>
      </c>
      <c r="X55" s="90" t="str">
        <f t="shared" si="59"/>
        <v xml:space="preserve"> </v>
      </c>
      <c r="Y55" s="91">
        <f t="shared" si="3"/>
        <v>0</v>
      </c>
      <c r="Z55" s="90">
        <f>IF(P55-SUM(AB$5:AB55)+1&gt;0,IF(Podsumowanie!E$7&lt;B55,IF(SUM(AB$5:AB55)-Podsumowanie!E$9+1&gt;0,PMT(M55/12,P55+1-SUM(AB$5:AB55),N55),Y55),0),0)</f>
        <v>0</v>
      </c>
      <c r="AA55" s="90">
        <f t="shared" si="79"/>
        <v>0</v>
      </c>
      <c r="AB55" s="8" t="str">
        <f>IF(AND(Podsumowanie!E$7&lt;B55,SUM(AB$5:AB54)&lt;P54),1," ")</f>
        <v xml:space="preserve"> </v>
      </c>
      <c r="AD55" s="10">
        <f>Podsumowanie!E$4-SUM(AF$5:AF54)+SUM(W$42:W55)-SUM(X$42:X55)</f>
        <v>181357.6981355522</v>
      </c>
      <c r="AE55" s="10">
        <f t="shared" si="61"/>
        <v>0</v>
      </c>
      <c r="AF55" s="10">
        <f t="shared" si="62"/>
        <v>0</v>
      </c>
      <c r="AG55" s="10">
        <f t="shared" si="63"/>
        <v>0</v>
      </c>
      <c r="AH55" s="10">
        <f t="shared" si="64"/>
        <v>0</v>
      </c>
      <c r="AI55" s="10">
        <f>Podsumowanie!E$2-SUM(AK$5:AK54)+SUM(R$42:R55)-SUM(S$42:S55)</f>
        <v>400000</v>
      </c>
      <c r="AJ55" s="10">
        <f t="shared" si="65"/>
        <v>0</v>
      </c>
      <c r="AK55" s="10">
        <f t="shared" si="66"/>
        <v>0</v>
      </c>
      <c r="AL55" s="10">
        <f t="shared" si="67"/>
        <v>0</v>
      </c>
      <c r="AM55" s="10">
        <f t="shared" si="68"/>
        <v>0</v>
      </c>
      <c r="AO55" s="43">
        <f t="shared" si="69"/>
        <v>38777</v>
      </c>
      <c r="AP55" s="11">
        <f>AP$5+SUM(AS$5:AS54)-SUM(X$5:X55)+SUM(W$5:W55)</f>
        <v>175916.96719148563</v>
      </c>
      <c r="AQ55" s="10">
        <f t="shared" si="70"/>
        <v>0</v>
      </c>
      <c r="AR55" s="10">
        <f>IF(AB55=1,IF(Q55="tak",AQ55,PMT(M55/12,P55+1-SUM(AB$5:AB55),AP55)),0)</f>
        <v>0</v>
      </c>
      <c r="AS55" s="10">
        <f t="shared" si="71"/>
        <v>0</v>
      </c>
      <c r="AT55" s="10">
        <f t="shared" si="72"/>
        <v>0</v>
      </c>
      <c r="AV55" s="11">
        <f>AV$5+SUM(AX$5:AX54)+SUM(W$5:W54)-SUM(X$5:X54)</f>
        <v>175916.96719148563</v>
      </c>
      <c r="AW55" s="11">
        <f t="shared" si="73"/>
        <v>0</v>
      </c>
      <c r="AX55" s="11">
        <f t="shared" si="74"/>
        <v>0</v>
      </c>
      <c r="AY55" s="11">
        <f t="shared" si="75"/>
        <v>0</v>
      </c>
      <c r="AZ55" s="11">
        <f t="shared" si="76"/>
        <v>0</v>
      </c>
      <c r="BB55" s="191">
        <f t="shared" si="4"/>
        <v>0.0412</v>
      </c>
      <c r="BC55" s="44">
        <f>BB55+Podsumowanie!$E$6</f>
        <v>0.0532</v>
      </c>
      <c r="BD55" s="11">
        <f>BD$5+SUM(BE$5:BE54)+SUM(R$5:R54)-SUM(S$5:S54)</f>
        <v>400000</v>
      </c>
      <c r="BE55" s="10">
        <f t="shared" si="80"/>
        <v>0</v>
      </c>
      <c r="BF55" s="10">
        <f t="shared" si="78"/>
        <v>0</v>
      </c>
      <c r="BG55" s="10">
        <f>IF(U55&lt;0,PMT(BC55/12,Podsumowanie!E$8-SUM(AB$5:AB55)+1,BD55),0)</f>
        <v>0</v>
      </c>
      <c r="BI55" s="11">
        <f>BI$5+SUM(BK$5:BK54)+SUM(R$5:R54)-SUM(S$5:S54)</f>
        <v>400000</v>
      </c>
      <c r="BJ55" s="11">
        <f t="shared" si="5"/>
        <v>0</v>
      </c>
      <c r="BK55" s="11">
        <f t="shared" si="6"/>
        <v>0</v>
      </c>
      <c r="BL55" s="11">
        <f t="shared" si="7"/>
        <v>0</v>
      </c>
      <c r="BN55" s="44">
        <f t="shared" si="8"/>
        <v>0.0533</v>
      </c>
      <c r="BO55" s="11">
        <f>BO$5+SUM(BP$5:BP54)+SUM(R$5:R54)-SUM(S$5:S54)+SUM(BS$5:BS54)</f>
        <v>400000</v>
      </c>
      <c r="BP55" s="10">
        <f t="shared" si="46"/>
        <v>0</v>
      </c>
      <c r="BQ55" s="10">
        <f t="shared" si="47"/>
        <v>0</v>
      </c>
      <c r="BR55" s="10">
        <f>IF(U55&lt;0,PMT(BN55/12,Podsumowanie!E$8-SUM(AB$5:AB55)+1,BO55),0)</f>
        <v>0</v>
      </c>
      <c r="BS55" s="10">
        <f t="shared" si="41"/>
        <v>0</v>
      </c>
      <c r="BU55" s="11">
        <f>BU$5+SUM(BW$5:BW54)+SUM(R$5:R54)-SUM(S$5:S54)+SUM(BY$5,BY54)</f>
        <v>400000</v>
      </c>
      <c r="BV55" s="10">
        <f t="shared" si="9"/>
        <v>0</v>
      </c>
      <c r="BW55" s="10">
        <f t="shared" si="10"/>
        <v>0</v>
      </c>
      <c r="BX55" s="10">
        <f t="shared" si="48"/>
        <v>0</v>
      </c>
      <c r="BY55" s="10">
        <f t="shared" si="49"/>
        <v>0</v>
      </c>
      <c r="CA55" s="10">
        <f>CA$5+SUM(CB$5:CB54)+SUM(R$5:R54)-SUM(S$5:S54)-SUM(CC$5:CC54)</f>
        <v>400000</v>
      </c>
      <c r="CB55" s="10">
        <f t="shared" si="42"/>
        <v>0</v>
      </c>
      <c r="CC55" s="10">
        <f t="shared" si="43"/>
        <v>0</v>
      </c>
      <c r="CD55" s="10">
        <f t="shared" si="44"/>
        <v>0</v>
      </c>
      <c r="CF55" s="44">
        <f t="shared" si="11"/>
        <v>0.8265</v>
      </c>
      <c r="CG55" s="10">
        <f t="shared" si="45"/>
        <v>0</v>
      </c>
      <c r="CH55" s="4">
        <f t="shared" si="50"/>
        <v>0</v>
      </c>
    </row>
    <row r="56" spans="1:86" ht="15.75">
      <c r="A56" s="36"/>
      <c r="B56" s="37">
        <v>38808</v>
      </c>
      <c r="C56" s="77">
        <f t="shared" si="1"/>
        <v>2.4886</v>
      </c>
      <c r="D56" s="78">
        <f>C56*(1+Podsumowanie!E$11)</f>
        <v>2.563258</v>
      </c>
      <c r="E56" s="34">
        <f t="shared" si="51"/>
        <v>0</v>
      </c>
      <c r="F56" s="7">
        <f t="shared" si="81"/>
        <v>0</v>
      </c>
      <c r="G56" s="7">
        <f t="shared" si="53"/>
        <v>0</v>
      </c>
      <c r="H56" s="7">
        <f t="shared" si="82"/>
        <v>0</v>
      </c>
      <c r="I56" s="32"/>
      <c r="J56" s="4" t="str">
        <f t="shared" si="55"/>
        <v xml:space="preserve"> </v>
      </c>
      <c r="K56" s="4">
        <f>IF(B56&lt;Podsumowanie!E$7,0,K55+1)</f>
        <v>0</v>
      </c>
      <c r="L56" s="100">
        <f t="shared" si="2"/>
        <v>0.0128</v>
      </c>
      <c r="M56" s="38">
        <f>L56+Podsumowanie!E$6</f>
        <v>0.024800000000000003</v>
      </c>
      <c r="N56" s="101">
        <f>MAX(Podsumowanie!E$4+SUM(AA$5:AA55)-SUM(X$5:X56)+SUM(W$5:W56),0)</f>
        <v>181357.6981355522</v>
      </c>
      <c r="O56" s="102">
        <f>MAX(Podsumowanie!E$2+SUM(V$5:V55)-SUM(S$5:S56)+SUM(R$5:R56),0)</f>
        <v>400000</v>
      </c>
      <c r="P56" s="39">
        <f t="shared" si="56"/>
        <v>360</v>
      </c>
      <c r="Q56" s="40" t="str">
        <f>IF(AND(K56&gt;0,K56&lt;=Podsumowanie!E$9),"tak","nie")</f>
        <v>nie</v>
      </c>
      <c r="R56" s="41"/>
      <c r="S56" s="42"/>
      <c r="T56" s="88">
        <f t="shared" si="57"/>
        <v>0</v>
      </c>
      <c r="U56" s="89">
        <f>IF(Q56="tak",T56,IF(P56-SUM(AB$5:AB56)+1&gt;0,IF(Podsumowanie!E$7&lt;B56,IF(SUM(AB$5:AB56)-Podsumowanie!E$9+1&gt;0,PMT(M56/12,P56+1-SUM(AB$5:AB56),O56),T56),0),0))</f>
        <v>0</v>
      </c>
      <c r="V56" s="89">
        <f t="shared" si="58"/>
        <v>0</v>
      </c>
      <c r="W56" s="90" t="str">
        <f>IF(R56&gt;0,R56/(C56*(1-Podsumowanie!E$11))," ")</f>
        <v xml:space="preserve"> </v>
      </c>
      <c r="X56" s="90" t="str">
        <f t="shared" si="59"/>
        <v xml:space="preserve"> </v>
      </c>
      <c r="Y56" s="91">
        <f t="shared" si="3"/>
        <v>0</v>
      </c>
      <c r="Z56" s="90">
        <f>IF(P56-SUM(AB$5:AB56)+1&gt;0,IF(Podsumowanie!E$7&lt;B56,IF(SUM(AB$5:AB56)-Podsumowanie!E$9+1&gt;0,PMT(M56/12,P56+1-SUM(AB$5:AB56),N56),Y56),0),0)</f>
        <v>0</v>
      </c>
      <c r="AA56" s="90">
        <f t="shared" si="79"/>
        <v>0</v>
      </c>
      <c r="AB56" s="8" t="str">
        <f>IF(AND(Podsumowanie!E$7&lt;B56,SUM(AB$5:AB55)&lt;P55),1," ")</f>
        <v xml:space="preserve"> </v>
      </c>
      <c r="AD56" s="10">
        <f>Podsumowanie!E$4-SUM(AF$5:AF55)+SUM(W$42:W56)-SUM(X$42:X56)</f>
        <v>181357.6981355522</v>
      </c>
      <c r="AE56" s="10">
        <f t="shared" si="61"/>
        <v>0</v>
      </c>
      <c r="AF56" s="10">
        <f t="shared" si="62"/>
        <v>0</v>
      </c>
      <c r="AG56" s="10">
        <f t="shared" si="63"/>
        <v>0</v>
      </c>
      <c r="AH56" s="10">
        <f t="shared" si="64"/>
        <v>0</v>
      </c>
      <c r="AI56" s="10">
        <f>Podsumowanie!E$2-SUM(AK$5:AK55)+SUM(R$42:R56)-SUM(S$42:S56)</f>
        <v>400000</v>
      </c>
      <c r="AJ56" s="10">
        <f t="shared" si="65"/>
        <v>0</v>
      </c>
      <c r="AK56" s="10">
        <f t="shared" si="66"/>
        <v>0</v>
      </c>
      <c r="AL56" s="10">
        <f t="shared" si="67"/>
        <v>0</v>
      </c>
      <c r="AM56" s="10">
        <f t="shared" si="68"/>
        <v>0</v>
      </c>
      <c r="AO56" s="43">
        <f t="shared" si="69"/>
        <v>38808</v>
      </c>
      <c r="AP56" s="11">
        <f>AP$5+SUM(AS$5:AS55)-SUM(X$5:X56)+SUM(W$5:W56)</f>
        <v>175916.96719148563</v>
      </c>
      <c r="AQ56" s="10">
        <f t="shared" si="70"/>
        <v>0</v>
      </c>
      <c r="AR56" s="10">
        <f>IF(AB56=1,IF(Q56="tak",AQ56,PMT(M56/12,P56+1-SUM(AB$5:AB56),AP56)),0)</f>
        <v>0</v>
      </c>
      <c r="AS56" s="10">
        <f t="shared" si="71"/>
        <v>0</v>
      </c>
      <c r="AT56" s="10">
        <f t="shared" si="72"/>
        <v>0</v>
      </c>
      <c r="AV56" s="11">
        <f>AV$5+SUM(AX$5:AX55)+SUM(W$5:W55)-SUM(X$5:X55)</f>
        <v>175916.96719148563</v>
      </c>
      <c r="AW56" s="11">
        <f t="shared" si="73"/>
        <v>0</v>
      </c>
      <c r="AX56" s="11">
        <f t="shared" si="74"/>
        <v>0</v>
      </c>
      <c r="AY56" s="11">
        <f t="shared" si="75"/>
        <v>0</v>
      </c>
      <c r="AZ56" s="11">
        <f t="shared" si="76"/>
        <v>0</v>
      </c>
      <c r="BB56" s="191">
        <f t="shared" si="4"/>
        <v>0.0414</v>
      </c>
      <c r="BC56" s="44">
        <f>BB56+Podsumowanie!$E$6</f>
        <v>0.0534</v>
      </c>
      <c r="BD56" s="11">
        <f>BD$5+SUM(BE$5:BE55)+SUM(R$5:R55)-SUM(S$5:S55)</f>
        <v>400000</v>
      </c>
      <c r="BE56" s="10">
        <f t="shared" si="80"/>
        <v>0</v>
      </c>
      <c r="BF56" s="10">
        <f t="shared" si="78"/>
        <v>0</v>
      </c>
      <c r="BG56" s="10">
        <f>IF(U56&lt;0,PMT(BC56/12,Podsumowanie!E$8-SUM(AB$5:AB56)+1,BD56),0)</f>
        <v>0</v>
      </c>
      <c r="BI56" s="11">
        <f>BI$5+SUM(BK$5:BK55)+SUM(R$5:R55)-SUM(S$5:S55)</f>
        <v>400000</v>
      </c>
      <c r="BJ56" s="11">
        <f t="shared" si="5"/>
        <v>0</v>
      </c>
      <c r="BK56" s="11">
        <f t="shared" si="6"/>
        <v>0</v>
      </c>
      <c r="BL56" s="11">
        <f t="shared" si="7"/>
        <v>0</v>
      </c>
      <c r="BN56" s="44">
        <f t="shared" si="8"/>
        <v>0.0535</v>
      </c>
      <c r="BO56" s="11">
        <f>BO$5+SUM(BP$5:BP55)+SUM(R$5:R55)-SUM(S$5:S55)+SUM(BS$5:BS55)</f>
        <v>400000</v>
      </c>
      <c r="BP56" s="10">
        <f t="shared" si="46"/>
        <v>0</v>
      </c>
      <c r="BQ56" s="10">
        <f t="shared" si="47"/>
        <v>0</v>
      </c>
      <c r="BR56" s="10">
        <f>IF(U56&lt;0,PMT(BN56/12,Podsumowanie!E$8-SUM(AB$5:AB56)+1,BO56),0)</f>
        <v>0</v>
      </c>
      <c r="BS56" s="10">
        <f t="shared" si="41"/>
        <v>0</v>
      </c>
      <c r="BU56" s="11">
        <f>BU$5+SUM(BW$5:BW55)+SUM(R$5:R55)-SUM(S$5:S55)+SUM(BY$5,BY55)</f>
        <v>400000</v>
      </c>
      <c r="BV56" s="10">
        <f t="shared" si="9"/>
        <v>0</v>
      </c>
      <c r="BW56" s="10">
        <f t="shared" si="10"/>
        <v>0</v>
      </c>
      <c r="BX56" s="10">
        <f t="shared" si="48"/>
        <v>0</v>
      </c>
      <c r="BY56" s="10">
        <f t="shared" si="49"/>
        <v>0</v>
      </c>
      <c r="CA56" s="10">
        <f>CA$5+SUM(CB$5:CB55)+SUM(R$5:R55)-SUM(S$5:S55)-SUM(CC$5:CC55)</f>
        <v>400000</v>
      </c>
      <c r="CB56" s="10">
        <f t="shared" si="42"/>
        <v>0</v>
      </c>
      <c r="CC56" s="10">
        <f t="shared" si="43"/>
        <v>0</v>
      </c>
      <c r="CD56" s="10">
        <f t="shared" si="44"/>
        <v>0</v>
      </c>
      <c r="CF56" s="44">
        <f t="shared" si="11"/>
        <v>0.8138</v>
      </c>
      <c r="CG56" s="10">
        <f t="shared" si="45"/>
        <v>0</v>
      </c>
      <c r="CH56" s="4">
        <f t="shared" si="50"/>
        <v>0</v>
      </c>
    </row>
    <row r="57" spans="1:86" ht="15.75">
      <c r="A57" s="36"/>
      <c r="B57" s="37">
        <v>38838</v>
      </c>
      <c r="C57" s="77">
        <f t="shared" si="1"/>
        <v>2.501</v>
      </c>
      <c r="D57" s="78">
        <f>C57*(1+Podsumowanie!E$11)</f>
        <v>2.57603</v>
      </c>
      <c r="E57" s="34">
        <f t="shared" si="51"/>
        <v>0</v>
      </c>
      <c r="F57" s="7">
        <f t="shared" si="81"/>
        <v>0</v>
      </c>
      <c r="G57" s="7">
        <f t="shared" si="53"/>
        <v>0</v>
      </c>
      <c r="H57" s="7">
        <f t="shared" si="82"/>
        <v>0</v>
      </c>
      <c r="I57" s="32"/>
      <c r="J57" s="4" t="str">
        <f t="shared" si="55"/>
        <v xml:space="preserve"> </v>
      </c>
      <c r="K57" s="4">
        <f>IF(B57&lt;Podsumowanie!E$7,0,K56+1)</f>
        <v>0</v>
      </c>
      <c r="L57" s="100">
        <f t="shared" si="2"/>
        <v>0.0141</v>
      </c>
      <c r="M57" s="38">
        <f>L57+Podsumowanie!E$6</f>
        <v>0.026099999999999998</v>
      </c>
      <c r="N57" s="101">
        <f>MAX(Podsumowanie!E$4+SUM(AA$5:AA56)-SUM(X$5:X57)+SUM(W$5:W57),0)</f>
        <v>181357.6981355522</v>
      </c>
      <c r="O57" s="102">
        <f>MAX(Podsumowanie!E$2+SUM(V$5:V56)-SUM(S$5:S57)+SUM(R$5:R57),0)</f>
        <v>400000</v>
      </c>
      <c r="P57" s="39">
        <f t="shared" si="56"/>
        <v>360</v>
      </c>
      <c r="Q57" s="40" t="str">
        <f>IF(AND(K57&gt;0,K57&lt;=Podsumowanie!E$9),"tak","nie")</f>
        <v>nie</v>
      </c>
      <c r="R57" s="41"/>
      <c r="S57" s="42"/>
      <c r="T57" s="88">
        <f t="shared" si="57"/>
        <v>0</v>
      </c>
      <c r="U57" s="89">
        <f>IF(Q57="tak",T57,IF(P57-SUM(AB$5:AB57)+1&gt;0,IF(Podsumowanie!E$7&lt;B57,IF(SUM(AB$5:AB57)-Podsumowanie!E$9+1&gt;0,PMT(M57/12,P57+1-SUM(AB$5:AB57),O57),T57),0),0))</f>
        <v>0</v>
      </c>
      <c r="V57" s="89">
        <f aca="true" t="shared" si="83" ref="V57:V120">U57-T57</f>
        <v>0</v>
      </c>
      <c r="W57" s="90" t="str">
        <f>IF(R57&gt;0,R57/(C57*(1-Podsumowanie!E$11))," ")</f>
        <v xml:space="preserve"> </v>
      </c>
      <c r="X57" s="90" t="str">
        <f t="shared" si="59"/>
        <v xml:space="preserve"> </v>
      </c>
      <c r="Y57" s="91">
        <f t="shared" si="3"/>
        <v>0</v>
      </c>
      <c r="Z57" s="90">
        <f>IF(P57-SUM(AB$5:AB57)+1&gt;0,IF(Podsumowanie!E$7&lt;B57,IF(SUM(AB$5:AB57)-Podsumowanie!E$9+1&gt;0,PMT(M57/12,P57+1-SUM(AB$5:AB57),N57),Y57),0),0)</f>
        <v>0</v>
      </c>
      <c r="AA57" s="90">
        <f t="shared" si="79"/>
        <v>0</v>
      </c>
      <c r="AB57" s="8" t="str">
        <f>IF(AND(Podsumowanie!E$7&lt;B57,SUM(AB$5:AB56)&lt;P56),1," ")</f>
        <v xml:space="preserve"> </v>
      </c>
      <c r="AD57" s="10">
        <f>Podsumowanie!E$4-SUM(AF$5:AF56)+SUM(W$42:W57)-SUM(X$42:X57)</f>
        <v>181357.6981355522</v>
      </c>
      <c r="AE57" s="10">
        <f t="shared" si="61"/>
        <v>0</v>
      </c>
      <c r="AF57" s="10">
        <f t="shared" si="62"/>
        <v>0</v>
      </c>
      <c r="AG57" s="10">
        <f t="shared" si="63"/>
        <v>0</v>
      </c>
      <c r="AH57" s="10">
        <f t="shared" si="64"/>
        <v>0</v>
      </c>
      <c r="AI57" s="10">
        <f>Podsumowanie!E$2-SUM(AK$5:AK56)+SUM(R$42:R57)-SUM(S$42:S57)</f>
        <v>400000</v>
      </c>
      <c r="AJ57" s="10">
        <f t="shared" si="65"/>
        <v>0</v>
      </c>
      <c r="AK57" s="10">
        <f t="shared" si="66"/>
        <v>0</v>
      </c>
      <c r="AL57" s="10">
        <f t="shared" si="67"/>
        <v>0</v>
      </c>
      <c r="AM57" s="10">
        <f t="shared" si="68"/>
        <v>0</v>
      </c>
      <c r="AO57" s="43">
        <f t="shared" si="69"/>
        <v>38838</v>
      </c>
      <c r="AP57" s="11">
        <f>AP$5+SUM(AS$5:AS56)-SUM(X$5:X57)+SUM(W$5:W57)</f>
        <v>175916.96719148563</v>
      </c>
      <c r="AQ57" s="10">
        <f t="shared" si="70"/>
        <v>0</v>
      </c>
      <c r="AR57" s="10">
        <f>IF(AB57=1,IF(Q57="tak",AQ57,PMT(M57/12,P57+1-SUM(AB$5:AB57),AP57)),0)</f>
        <v>0</v>
      </c>
      <c r="AS57" s="10">
        <f t="shared" si="71"/>
        <v>0</v>
      </c>
      <c r="AT57" s="10">
        <f t="shared" si="72"/>
        <v>0</v>
      </c>
      <c r="AV57" s="11">
        <f>AV$5+SUM(AX$5:AX56)+SUM(W$5:W56)-SUM(X$5:X56)</f>
        <v>175916.96719148563</v>
      </c>
      <c r="AW57" s="11">
        <f t="shared" si="73"/>
        <v>0</v>
      </c>
      <c r="AX57" s="11">
        <f t="shared" si="74"/>
        <v>0</v>
      </c>
      <c r="AY57" s="11">
        <f t="shared" si="75"/>
        <v>0</v>
      </c>
      <c r="AZ57" s="11">
        <f t="shared" si="76"/>
        <v>0</v>
      </c>
      <c r="BB57" s="191">
        <f t="shared" si="4"/>
        <v>0.0415</v>
      </c>
      <c r="BC57" s="44">
        <f>BB57+Podsumowanie!$E$6</f>
        <v>0.053500000000000006</v>
      </c>
      <c r="BD57" s="11">
        <f>BD$5+SUM(BE$5:BE56)+SUM(R$5:R56)-SUM(S$5:S56)</f>
        <v>400000</v>
      </c>
      <c r="BE57" s="10">
        <f t="shared" si="80"/>
        <v>0</v>
      </c>
      <c r="BF57" s="10">
        <f t="shared" si="78"/>
        <v>0</v>
      </c>
      <c r="BG57" s="10">
        <f>IF(U57&lt;0,PMT(BC57/12,Podsumowanie!E$8-SUM(AB$5:AB57)+1,BD57),0)</f>
        <v>0</v>
      </c>
      <c r="BI57" s="11">
        <f>BI$5+SUM(BK$5:BK56)+SUM(R$5:R56)-SUM(S$5:S56)</f>
        <v>400000</v>
      </c>
      <c r="BJ57" s="11">
        <f t="shared" si="5"/>
        <v>0</v>
      </c>
      <c r="BK57" s="11">
        <f t="shared" si="6"/>
        <v>0</v>
      </c>
      <c r="BL57" s="11">
        <f t="shared" si="7"/>
        <v>0</v>
      </c>
      <c r="BN57" s="44">
        <f t="shared" si="8"/>
        <v>0.0536</v>
      </c>
      <c r="BO57" s="11">
        <f>BO$5+SUM(BP$5:BP56)+SUM(R$5:R56)-SUM(S$5:S56)+SUM(BS$5:BS56)</f>
        <v>400000</v>
      </c>
      <c r="BP57" s="10">
        <f t="shared" si="46"/>
        <v>0</v>
      </c>
      <c r="BQ57" s="10">
        <f t="shared" si="47"/>
        <v>0</v>
      </c>
      <c r="BR57" s="10">
        <f>IF(U57&lt;0,PMT(BN57/12,Podsumowanie!E$8-SUM(AB$5:AB57)+1,BO57),0)</f>
        <v>0</v>
      </c>
      <c r="BS57" s="10">
        <f t="shared" si="41"/>
        <v>0</v>
      </c>
      <c r="BU57" s="11">
        <f>BU$5+SUM(BW$5:BW56)+SUM(R$5:R56)-SUM(S$5:S56)+SUM(BY$5,BY56)</f>
        <v>400000</v>
      </c>
      <c r="BV57" s="10">
        <f t="shared" si="9"/>
        <v>0</v>
      </c>
      <c r="BW57" s="10">
        <f t="shared" si="10"/>
        <v>0</v>
      </c>
      <c r="BX57" s="10">
        <f t="shared" si="48"/>
        <v>0</v>
      </c>
      <c r="BY57" s="10">
        <f t="shared" si="49"/>
        <v>0</v>
      </c>
      <c r="CA57" s="10">
        <f>CA$5+SUM(CB$5:CB56)+SUM(R$5:R56)-SUM(S$5:S56)-SUM(CC$5:CC56)</f>
        <v>400000</v>
      </c>
      <c r="CB57" s="10">
        <f t="shared" si="42"/>
        <v>0</v>
      </c>
      <c r="CC57" s="10">
        <f t="shared" si="43"/>
        <v>0</v>
      </c>
      <c r="CD57" s="10">
        <f t="shared" si="44"/>
        <v>0</v>
      </c>
      <c r="CF57" s="44">
        <f t="shared" si="11"/>
        <v>0.8047</v>
      </c>
      <c r="CG57" s="10">
        <f t="shared" si="45"/>
        <v>0</v>
      </c>
      <c r="CH57" s="4">
        <f t="shared" si="50"/>
        <v>0</v>
      </c>
    </row>
    <row r="58" spans="1:86" ht="15.75">
      <c r="A58" s="36"/>
      <c r="B58" s="37">
        <v>38869</v>
      </c>
      <c r="C58" s="77">
        <f t="shared" si="1"/>
        <v>2.5742</v>
      </c>
      <c r="D58" s="78">
        <f>C58*(1+Podsumowanie!E$11)</f>
        <v>2.651426</v>
      </c>
      <c r="E58" s="34">
        <f t="shared" si="51"/>
        <v>0</v>
      </c>
      <c r="F58" s="7">
        <f t="shared" si="81"/>
        <v>0</v>
      </c>
      <c r="G58" s="7">
        <f t="shared" si="53"/>
        <v>0</v>
      </c>
      <c r="H58" s="7">
        <f t="shared" si="82"/>
        <v>0</v>
      </c>
      <c r="I58" s="32"/>
      <c r="J58" s="4" t="str">
        <f t="shared" si="55"/>
        <v xml:space="preserve"> </v>
      </c>
      <c r="K58" s="4">
        <f>IF(B58&lt;Podsumowanie!E$7,0,K57+1)</f>
        <v>0</v>
      </c>
      <c r="L58" s="100">
        <f t="shared" si="2"/>
        <v>0.0148</v>
      </c>
      <c r="M58" s="38">
        <f>L58+Podsumowanie!E$6</f>
        <v>0.0268</v>
      </c>
      <c r="N58" s="101">
        <f>MAX(Podsumowanie!E$4+SUM(AA$5:AA57)-SUM(X$5:X58)+SUM(W$5:W58),0)</f>
        <v>181357.6981355522</v>
      </c>
      <c r="O58" s="102">
        <f>MAX(Podsumowanie!E$2+SUM(V$5:V57)-SUM(S$5:S58)+SUM(R$5:R58),0)</f>
        <v>400000</v>
      </c>
      <c r="P58" s="39">
        <f t="shared" si="56"/>
        <v>360</v>
      </c>
      <c r="Q58" s="40" t="str">
        <f>IF(AND(K58&gt;0,K58&lt;=Podsumowanie!E$9),"tak","nie")</f>
        <v>nie</v>
      </c>
      <c r="R58" s="41"/>
      <c r="S58" s="42"/>
      <c r="T58" s="88">
        <f t="shared" si="57"/>
        <v>0</v>
      </c>
      <c r="U58" s="89">
        <f>IF(Q58="tak",T58,IF(P58-SUM(AB$5:AB58)+1&gt;0,IF(Podsumowanie!E$7&lt;B58,IF(SUM(AB$5:AB58)-Podsumowanie!E$9+1&gt;0,PMT(M58/12,P58+1-SUM(AB$5:AB58),O58),T58),0),0))</f>
        <v>0</v>
      </c>
      <c r="V58" s="89">
        <f t="shared" si="83"/>
        <v>0</v>
      </c>
      <c r="W58" s="90" t="str">
        <f>IF(R58&gt;0,R58/(C58*(1-Podsumowanie!E$11))," ")</f>
        <v xml:space="preserve"> </v>
      </c>
      <c r="X58" s="90" t="str">
        <f t="shared" si="59"/>
        <v xml:space="preserve"> </v>
      </c>
      <c r="Y58" s="91">
        <f t="shared" si="3"/>
        <v>0</v>
      </c>
      <c r="Z58" s="90">
        <f>IF(P58-SUM(AB$5:AB58)+1&gt;0,IF(Podsumowanie!E$7&lt;B58,IF(SUM(AB$5:AB58)-Podsumowanie!E$9+1&gt;0,PMT(M58/12,P58+1-SUM(AB$5:AB58),N58),Y58),0),0)</f>
        <v>0</v>
      </c>
      <c r="AA58" s="90">
        <f t="shared" si="79"/>
        <v>0</v>
      </c>
      <c r="AB58" s="8" t="str">
        <f>IF(AND(Podsumowanie!E$7&lt;B58,SUM(AB$5:AB57)&lt;P57),1," ")</f>
        <v xml:space="preserve"> </v>
      </c>
      <c r="AD58" s="10">
        <f>Podsumowanie!E$4-SUM(AF$5:AF57)+SUM(W$42:W58)-SUM(X$42:X58)</f>
        <v>181357.6981355522</v>
      </c>
      <c r="AE58" s="10">
        <f t="shared" si="61"/>
        <v>0</v>
      </c>
      <c r="AF58" s="10">
        <f t="shared" si="62"/>
        <v>0</v>
      </c>
      <c r="AG58" s="10">
        <f t="shared" si="63"/>
        <v>0</v>
      </c>
      <c r="AH58" s="10">
        <f t="shared" si="64"/>
        <v>0</v>
      </c>
      <c r="AI58" s="10">
        <f>Podsumowanie!E$2-SUM(AK$5:AK57)+SUM(R$42:R58)-SUM(S$42:S58)</f>
        <v>400000</v>
      </c>
      <c r="AJ58" s="10">
        <f t="shared" si="65"/>
        <v>0</v>
      </c>
      <c r="AK58" s="10">
        <f t="shared" si="66"/>
        <v>0</v>
      </c>
      <c r="AL58" s="10">
        <f t="shared" si="67"/>
        <v>0</v>
      </c>
      <c r="AM58" s="10">
        <f t="shared" si="68"/>
        <v>0</v>
      </c>
      <c r="AO58" s="43">
        <f t="shared" si="69"/>
        <v>38869</v>
      </c>
      <c r="AP58" s="11">
        <f>AP$5+SUM(AS$5:AS57)-SUM(X$5:X58)+SUM(W$5:W58)</f>
        <v>175916.96719148563</v>
      </c>
      <c r="AQ58" s="10">
        <f t="shared" si="70"/>
        <v>0</v>
      </c>
      <c r="AR58" s="10">
        <f>IF(AB58=1,IF(Q58="tak",AQ58,PMT(M58/12,P58+1-SUM(AB$5:AB58),AP58)),0)</f>
        <v>0</v>
      </c>
      <c r="AS58" s="10">
        <f t="shared" si="71"/>
        <v>0</v>
      </c>
      <c r="AT58" s="10">
        <f t="shared" si="72"/>
        <v>0</v>
      </c>
      <c r="AV58" s="11">
        <f>AV$5+SUM(AX$5:AX57)+SUM(W$5:W57)-SUM(X$5:X57)</f>
        <v>175916.96719148563</v>
      </c>
      <c r="AW58" s="11">
        <f t="shared" si="73"/>
        <v>0</v>
      </c>
      <c r="AX58" s="11">
        <f t="shared" si="74"/>
        <v>0</v>
      </c>
      <c r="AY58" s="11">
        <f t="shared" si="75"/>
        <v>0</v>
      </c>
      <c r="AZ58" s="11">
        <f t="shared" si="76"/>
        <v>0</v>
      </c>
      <c r="BB58" s="191">
        <f t="shared" si="4"/>
        <v>0.0417</v>
      </c>
      <c r="BC58" s="44">
        <f>BB58+Podsumowanie!$E$6</f>
        <v>0.0537</v>
      </c>
      <c r="BD58" s="11">
        <f>BD$5+SUM(BE$5:BE57)+SUM(R$5:R57)-SUM(S$5:S57)</f>
        <v>400000</v>
      </c>
      <c r="BE58" s="10">
        <f t="shared" si="80"/>
        <v>0</v>
      </c>
      <c r="BF58" s="10">
        <f t="shared" si="78"/>
        <v>0</v>
      </c>
      <c r="BG58" s="10">
        <f>IF(U58&lt;0,PMT(BC58/12,Podsumowanie!E$8-SUM(AB$5:AB58)+1,BD58),0)</f>
        <v>0</v>
      </c>
      <c r="BI58" s="11">
        <f>BI$5+SUM(BK$5:BK57)+SUM(R$5:R57)-SUM(S$5:S57)</f>
        <v>400000</v>
      </c>
      <c r="BJ58" s="11">
        <f t="shared" si="5"/>
        <v>0</v>
      </c>
      <c r="BK58" s="11">
        <f t="shared" si="6"/>
        <v>0</v>
      </c>
      <c r="BL58" s="11">
        <f t="shared" si="7"/>
        <v>0</v>
      </c>
      <c r="BN58" s="44">
        <f t="shared" si="8"/>
        <v>0.0538</v>
      </c>
      <c r="BO58" s="11">
        <f>BO$5+SUM(BP$5:BP57)+SUM(R$5:R57)-SUM(S$5:S57)+SUM(BS$5:BS57)</f>
        <v>400000</v>
      </c>
      <c r="BP58" s="10">
        <f t="shared" si="46"/>
        <v>0</v>
      </c>
      <c r="BQ58" s="10">
        <f t="shared" si="47"/>
        <v>0</v>
      </c>
      <c r="BR58" s="10">
        <f>IF(U58&lt;0,PMT(BN58/12,Podsumowanie!E$8-SUM(AB$5:AB58)+1,BO58),0)</f>
        <v>0</v>
      </c>
      <c r="BS58" s="10">
        <f t="shared" si="41"/>
        <v>0</v>
      </c>
      <c r="BU58" s="11">
        <f>BU$5+SUM(BW$5:BW57)+SUM(R$5:R57)-SUM(S$5:S57)+SUM(BY$5,BY57)</f>
        <v>400000</v>
      </c>
      <c r="BV58" s="10">
        <f t="shared" si="9"/>
        <v>0</v>
      </c>
      <c r="BW58" s="10">
        <f t="shared" si="10"/>
        <v>0</v>
      </c>
      <c r="BX58" s="10">
        <f t="shared" si="48"/>
        <v>0</v>
      </c>
      <c r="BY58" s="10">
        <f t="shared" si="49"/>
        <v>0</v>
      </c>
      <c r="CA58" s="10">
        <f>CA$5+SUM(CB$5:CB57)+SUM(R$5:R57)-SUM(S$5:S57)-SUM(CC$5:CC57)</f>
        <v>400000</v>
      </c>
      <c r="CB58" s="10">
        <f t="shared" si="42"/>
        <v>0</v>
      </c>
      <c r="CC58" s="10">
        <f t="shared" si="43"/>
        <v>0</v>
      </c>
      <c r="CD58" s="10">
        <f t="shared" si="44"/>
        <v>0</v>
      </c>
      <c r="CF58" s="44">
        <f t="shared" si="11"/>
        <v>0.8102</v>
      </c>
      <c r="CG58" s="10">
        <f t="shared" si="45"/>
        <v>0</v>
      </c>
      <c r="CH58" s="4">
        <f t="shared" si="50"/>
        <v>0</v>
      </c>
    </row>
    <row r="59" spans="1:86" ht="15.75">
      <c r="A59" s="36"/>
      <c r="B59" s="37">
        <v>38899</v>
      </c>
      <c r="C59" s="77">
        <f t="shared" si="1"/>
        <v>2.5482</v>
      </c>
      <c r="D59" s="78">
        <f>C59*(1+Podsumowanie!E$11)</f>
        <v>2.6246460000000003</v>
      </c>
      <c r="E59" s="34">
        <f t="shared" si="51"/>
        <v>0</v>
      </c>
      <c r="F59" s="7">
        <f t="shared" si="81"/>
        <v>0</v>
      </c>
      <c r="G59" s="7">
        <f t="shared" si="53"/>
        <v>0</v>
      </c>
      <c r="H59" s="7">
        <f t="shared" si="82"/>
        <v>0</v>
      </c>
      <c r="I59" s="32"/>
      <c r="J59" s="4" t="str">
        <f t="shared" si="55"/>
        <v xml:space="preserve"> </v>
      </c>
      <c r="K59" s="4">
        <f>IF(B59&lt;Podsumowanie!E$7,0,K58+1)</f>
        <v>0</v>
      </c>
      <c r="L59" s="100">
        <f t="shared" si="2"/>
        <v>0.0153</v>
      </c>
      <c r="M59" s="38">
        <f>L59+Podsumowanie!E$6</f>
        <v>0.027299999999999998</v>
      </c>
      <c r="N59" s="101">
        <f>MAX(Podsumowanie!E$4+SUM(AA$5:AA58)-SUM(X$5:X59)+SUM(W$5:W59),0)</f>
        <v>181357.6981355522</v>
      </c>
      <c r="O59" s="102">
        <f>MAX(Podsumowanie!E$2+SUM(V$5:V58)-SUM(S$5:S59)+SUM(R$5:R59),0)</f>
        <v>400000</v>
      </c>
      <c r="P59" s="39">
        <f t="shared" si="56"/>
        <v>360</v>
      </c>
      <c r="Q59" s="40" t="str">
        <f>IF(AND(K59&gt;0,K59&lt;=Podsumowanie!E$9),"tak","nie")</f>
        <v>nie</v>
      </c>
      <c r="R59" s="41"/>
      <c r="S59" s="42"/>
      <c r="T59" s="88">
        <f t="shared" si="57"/>
        <v>0</v>
      </c>
      <c r="U59" s="89">
        <f>IF(Q59="tak",T59,IF(P59-SUM(AB$5:AB59)+1&gt;0,IF(Podsumowanie!E$7&lt;B59,IF(SUM(AB$5:AB59)-Podsumowanie!E$9+1&gt;0,PMT(M59/12,P59+1-SUM(AB$5:AB59),O59),T59),0),0))</f>
        <v>0</v>
      </c>
      <c r="V59" s="89">
        <f t="shared" si="83"/>
        <v>0</v>
      </c>
      <c r="W59" s="90" t="str">
        <f>IF(R59&gt;0,R59/(C59*(1-Podsumowanie!E$11))," ")</f>
        <v xml:space="preserve"> </v>
      </c>
      <c r="X59" s="90" t="str">
        <f t="shared" si="59"/>
        <v xml:space="preserve"> </v>
      </c>
      <c r="Y59" s="91">
        <f t="shared" si="3"/>
        <v>0</v>
      </c>
      <c r="Z59" s="90">
        <f>IF(P59-SUM(AB$5:AB59)+1&gt;0,IF(Podsumowanie!E$7&lt;B59,IF(SUM(AB$5:AB59)-Podsumowanie!E$9+1&gt;0,PMT(M59/12,P59+1-SUM(AB$5:AB59),N59),Y59),0),0)</f>
        <v>0</v>
      </c>
      <c r="AA59" s="90">
        <f t="shared" si="79"/>
        <v>0</v>
      </c>
      <c r="AB59" s="8" t="str">
        <f>IF(AND(Podsumowanie!E$7&lt;B59,SUM(AB$5:AB58)&lt;P58),1," ")</f>
        <v xml:space="preserve"> </v>
      </c>
      <c r="AD59" s="10">
        <f>Podsumowanie!E$4-SUM(AF$5:AF58)+SUM(W$42:W59)-SUM(X$42:X59)</f>
        <v>181357.6981355522</v>
      </c>
      <c r="AE59" s="10">
        <f t="shared" si="61"/>
        <v>0</v>
      </c>
      <c r="AF59" s="10">
        <f t="shared" si="62"/>
        <v>0</v>
      </c>
      <c r="AG59" s="10">
        <f t="shared" si="63"/>
        <v>0</v>
      </c>
      <c r="AH59" s="10">
        <f t="shared" si="64"/>
        <v>0</v>
      </c>
      <c r="AI59" s="10">
        <f>Podsumowanie!E$2-SUM(AK$5:AK58)+SUM(R$42:R59)-SUM(S$42:S59)</f>
        <v>400000</v>
      </c>
      <c r="AJ59" s="10">
        <f t="shared" si="65"/>
        <v>0</v>
      </c>
      <c r="AK59" s="10">
        <f t="shared" si="66"/>
        <v>0</v>
      </c>
      <c r="AL59" s="10">
        <f t="shared" si="67"/>
        <v>0</v>
      </c>
      <c r="AM59" s="10">
        <f t="shared" si="68"/>
        <v>0</v>
      </c>
      <c r="AO59" s="43">
        <f t="shared" si="69"/>
        <v>38899</v>
      </c>
      <c r="AP59" s="11">
        <f>AP$5+SUM(AS$5:AS58)-SUM(X$5:X59)+SUM(W$5:W59)</f>
        <v>175916.96719148563</v>
      </c>
      <c r="AQ59" s="10">
        <f t="shared" si="70"/>
        <v>0</v>
      </c>
      <c r="AR59" s="10">
        <f>IF(AB59=1,IF(Q59="tak",AQ59,PMT(M59/12,P59+1-SUM(AB$5:AB59),AP59)),0)</f>
        <v>0</v>
      </c>
      <c r="AS59" s="10">
        <f t="shared" si="71"/>
        <v>0</v>
      </c>
      <c r="AT59" s="10">
        <f t="shared" si="72"/>
        <v>0</v>
      </c>
      <c r="AV59" s="11">
        <f>AV$5+SUM(AX$5:AX58)+SUM(W$5:W58)-SUM(X$5:X58)</f>
        <v>175916.96719148563</v>
      </c>
      <c r="AW59" s="11">
        <f t="shared" si="73"/>
        <v>0</v>
      </c>
      <c r="AX59" s="11">
        <f t="shared" si="74"/>
        <v>0</v>
      </c>
      <c r="AY59" s="11">
        <f t="shared" si="75"/>
        <v>0</v>
      </c>
      <c r="AZ59" s="11">
        <f t="shared" si="76"/>
        <v>0</v>
      </c>
      <c r="BB59" s="191">
        <f t="shared" si="4"/>
        <v>0.0419</v>
      </c>
      <c r="BC59" s="44">
        <f>BB59+Podsumowanie!$E$6</f>
        <v>0.0539</v>
      </c>
      <c r="BD59" s="11">
        <f>BD$5+SUM(BE$5:BE58)+SUM(R$5:R58)-SUM(S$5:S58)</f>
        <v>400000</v>
      </c>
      <c r="BE59" s="10">
        <f t="shared" si="80"/>
        <v>0</v>
      </c>
      <c r="BF59" s="10">
        <f t="shared" si="78"/>
        <v>0</v>
      </c>
      <c r="BG59" s="10">
        <f>IF(U59&lt;0,PMT(BC59/12,Podsumowanie!E$8-SUM(AB$5:AB59)+1,BD59),0)</f>
        <v>0</v>
      </c>
      <c r="BI59" s="11">
        <f>BI$5+SUM(BK$5:BK58)+SUM(R$5:R58)-SUM(S$5:S58)</f>
        <v>400000</v>
      </c>
      <c r="BJ59" s="11">
        <f t="shared" si="5"/>
        <v>0</v>
      </c>
      <c r="BK59" s="11">
        <f t="shared" si="6"/>
        <v>0</v>
      </c>
      <c r="BL59" s="11">
        <f t="shared" si="7"/>
        <v>0</v>
      </c>
      <c r="BN59" s="44">
        <f t="shared" si="8"/>
        <v>0.054</v>
      </c>
      <c r="BO59" s="11">
        <f>BO$5+SUM(BP$5:BP58)+SUM(R$5:R58)-SUM(S$5:S58)+SUM(BS$5:BS58)</f>
        <v>400000</v>
      </c>
      <c r="BP59" s="10">
        <f t="shared" si="46"/>
        <v>0</v>
      </c>
      <c r="BQ59" s="10">
        <f t="shared" si="47"/>
        <v>0</v>
      </c>
      <c r="BR59" s="10">
        <f>IF(U59&lt;0,PMT(BN59/12,Podsumowanie!E$8-SUM(AB$5:AB59)+1,BO59),0)</f>
        <v>0</v>
      </c>
      <c r="BS59" s="10">
        <f t="shared" si="41"/>
        <v>0</v>
      </c>
      <c r="BU59" s="11">
        <f>BU$5+SUM(BW$5:BW58)+SUM(R$5:R58)-SUM(S$5:S58)+SUM(BY$5,BY58)</f>
        <v>400000</v>
      </c>
      <c r="BV59" s="10">
        <f t="shared" si="9"/>
        <v>0</v>
      </c>
      <c r="BW59" s="10">
        <f t="shared" si="10"/>
        <v>0</v>
      </c>
      <c r="BX59" s="10">
        <f t="shared" si="48"/>
        <v>0</v>
      </c>
      <c r="BY59" s="10">
        <f t="shared" si="49"/>
        <v>0</v>
      </c>
      <c r="CA59" s="10">
        <f>CA$5+SUM(CB$5:CB58)+SUM(R$5:R58)-SUM(S$5:S58)-SUM(CC$5:CC58)</f>
        <v>400000</v>
      </c>
      <c r="CB59" s="10">
        <f t="shared" si="42"/>
        <v>0</v>
      </c>
      <c r="CC59" s="10">
        <f t="shared" si="43"/>
        <v>0</v>
      </c>
      <c r="CD59" s="10">
        <f t="shared" si="44"/>
        <v>0</v>
      </c>
      <c r="CF59" s="44">
        <f t="shared" si="11"/>
        <v>0.8102</v>
      </c>
      <c r="CG59" s="10">
        <f t="shared" si="45"/>
        <v>0</v>
      </c>
      <c r="CH59" s="4">
        <f t="shared" si="50"/>
        <v>0</v>
      </c>
    </row>
    <row r="60" spans="1:86" ht="15.75">
      <c r="A60" s="36"/>
      <c r="B60" s="37">
        <v>38930</v>
      </c>
      <c r="C60" s="77">
        <f t="shared" si="1"/>
        <v>2.4725</v>
      </c>
      <c r="D60" s="78">
        <f>C60*(1+Podsumowanie!E$11)</f>
        <v>2.546675</v>
      </c>
      <c r="E60" s="34">
        <f t="shared" si="51"/>
        <v>0</v>
      </c>
      <c r="F60" s="7">
        <f t="shared" si="81"/>
        <v>0</v>
      </c>
      <c r="G60" s="7">
        <f t="shared" si="53"/>
        <v>0</v>
      </c>
      <c r="H60" s="7">
        <f t="shared" si="82"/>
        <v>0</v>
      </c>
      <c r="I60" s="32"/>
      <c r="J60" s="4" t="str">
        <f t="shared" si="55"/>
        <v xml:space="preserve"> </v>
      </c>
      <c r="K60" s="4">
        <f>IF(B60&lt;Podsumowanie!E$7,0,K59+1)</f>
        <v>0</v>
      </c>
      <c r="L60" s="100">
        <f t="shared" si="2"/>
        <v>0.0161</v>
      </c>
      <c r="M60" s="38">
        <f>L60+Podsumowanie!E$6</f>
        <v>0.0281</v>
      </c>
      <c r="N60" s="101">
        <f>MAX(Podsumowanie!E$4+SUM(AA$5:AA59)-SUM(X$5:X60)+SUM(W$5:W60),0)</f>
        <v>181357.6981355522</v>
      </c>
      <c r="O60" s="102">
        <f>MAX(Podsumowanie!E$2+SUM(V$5:V59)-SUM(S$5:S60)+SUM(R$5:R60),0)</f>
        <v>400000</v>
      </c>
      <c r="P60" s="39">
        <f t="shared" si="56"/>
        <v>360</v>
      </c>
      <c r="Q60" s="40" t="str">
        <f>IF(AND(K60&gt;0,K60&lt;=Podsumowanie!E$9),"tak","nie")</f>
        <v>nie</v>
      </c>
      <c r="R60" s="41"/>
      <c r="S60" s="42"/>
      <c r="T60" s="88">
        <f t="shared" si="57"/>
        <v>0</v>
      </c>
      <c r="U60" s="89">
        <f>IF(Q60="tak",T60,IF(P60-SUM(AB$5:AB60)+1&gt;0,IF(Podsumowanie!E$7&lt;B60,IF(SUM(AB$5:AB60)-Podsumowanie!E$9+1&gt;0,PMT(M60/12,P60+1-SUM(AB$5:AB60),O60),T60),0),0))</f>
        <v>0</v>
      </c>
      <c r="V60" s="89">
        <f t="shared" si="83"/>
        <v>0</v>
      </c>
      <c r="W60" s="90" t="str">
        <f>IF(R60&gt;0,R60/(C60*(1-Podsumowanie!E$11))," ")</f>
        <v xml:space="preserve"> </v>
      </c>
      <c r="X60" s="90" t="str">
        <f t="shared" si="59"/>
        <v xml:space="preserve"> </v>
      </c>
      <c r="Y60" s="91">
        <f t="shared" si="3"/>
        <v>0</v>
      </c>
      <c r="Z60" s="90">
        <f>IF(P60-SUM(AB$5:AB60)+1&gt;0,IF(Podsumowanie!E$7&lt;B60,IF(SUM(AB$5:AB60)-Podsumowanie!E$9+1&gt;0,PMT(M60/12,P60+1-SUM(AB$5:AB60),N60),Y60),0),0)</f>
        <v>0</v>
      </c>
      <c r="AA60" s="90">
        <f t="shared" si="79"/>
        <v>0</v>
      </c>
      <c r="AB60" s="8" t="str">
        <f>IF(AND(Podsumowanie!E$7&lt;B60,SUM(AB$5:AB59)&lt;P59),1," ")</f>
        <v xml:space="preserve"> </v>
      </c>
      <c r="AD60" s="10">
        <f>Podsumowanie!E$4-SUM(AF$5:AF59)+SUM(W$42:W60)-SUM(X$42:X60)</f>
        <v>181357.6981355522</v>
      </c>
      <c r="AE60" s="10">
        <f t="shared" si="61"/>
        <v>0</v>
      </c>
      <c r="AF60" s="10">
        <f t="shared" si="62"/>
        <v>0</v>
      </c>
      <c r="AG60" s="10">
        <f t="shared" si="63"/>
        <v>0</v>
      </c>
      <c r="AH60" s="10">
        <f t="shared" si="64"/>
        <v>0</v>
      </c>
      <c r="AI60" s="10">
        <f>Podsumowanie!E$2-SUM(AK$5:AK59)+SUM(R$42:R60)-SUM(S$42:S60)</f>
        <v>400000</v>
      </c>
      <c r="AJ60" s="10">
        <f t="shared" si="65"/>
        <v>0</v>
      </c>
      <c r="AK60" s="10">
        <f t="shared" si="66"/>
        <v>0</v>
      </c>
      <c r="AL60" s="10">
        <f t="shared" si="67"/>
        <v>0</v>
      </c>
      <c r="AM60" s="10">
        <f t="shared" si="68"/>
        <v>0</v>
      </c>
      <c r="AO60" s="43">
        <f t="shared" si="69"/>
        <v>38930</v>
      </c>
      <c r="AP60" s="11">
        <f>AP$5+SUM(AS$5:AS59)-SUM(X$5:X60)+SUM(W$5:W60)</f>
        <v>175916.96719148563</v>
      </c>
      <c r="AQ60" s="10">
        <f t="shared" si="70"/>
        <v>0</v>
      </c>
      <c r="AR60" s="10">
        <f>IF(AB60=1,IF(Q60="tak",AQ60,PMT(M60/12,P60+1-SUM(AB$5:AB60),AP60)),0)</f>
        <v>0</v>
      </c>
      <c r="AS60" s="10">
        <f t="shared" si="71"/>
        <v>0</v>
      </c>
      <c r="AT60" s="10">
        <f t="shared" si="72"/>
        <v>0</v>
      </c>
      <c r="AV60" s="11">
        <f>AV$5+SUM(AX$5:AX59)+SUM(W$5:W59)-SUM(X$5:X59)</f>
        <v>175916.96719148563</v>
      </c>
      <c r="AW60" s="11">
        <f t="shared" si="73"/>
        <v>0</v>
      </c>
      <c r="AX60" s="11">
        <f t="shared" si="74"/>
        <v>0</v>
      </c>
      <c r="AY60" s="11">
        <f t="shared" si="75"/>
        <v>0</v>
      </c>
      <c r="AZ60" s="11">
        <f t="shared" si="76"/>
        <v>0</v>
      </c>
      <c r="BB60" s="191">
        <f t="shared" si="4"/>
        <v>0.0419</v>
      </c>
      <c r="BC60" s="44">
        <f>BB60+Podsumowanie!$E$6</f>
        <v>0.0539</v>
      </c>
      <c r="BD60" s="11">
        <f>BD$5+SUM(BE$5:BE59)+SUM(R$5:R59)-SUM(S$5:S59)</f>
        <v>400000</v>
      </c>
      <c r="BE60" s="10">
        <f t="shared" si="80"/>
        <v>0</v>
      </c>
      <c r="BF60" s="10">
        <f t="shared" si="78"/>
        <v>0</v>
      </c>
      <c r="BG60" s="10">
        <f>IF(U60&lt;0,PMT(BC60/12,Podsumowanie!E$8-SUM(AB$5:AB60)+1,BD60),0)</f>
        <v>0</v>
      </c>
      <c r="BI60" s="11">
        <f>BI$5+SUM(BK$5:BK59)+SUM(R$5:R59)-SUM(S$5:S59)</f>
        <v>400000</v>
      </c>
      <c r="BJ60" s="11">
        <f t="shared" si="5"/>
        <v>0</v>
      </c>
      <c r="BK60" s="11">
        <f t="shared" si="6"/>
        <v>0</v>
      </c>
      <c r="BL60" s="11">
        <f t="shared" si="7"/>
        <v>0</v>
      </c>
      <c r="BN60" s="44">
        <f t="shared" si="8"/>
        <v>0.054</v>
      </c>
      <c r="BO60" s="11">
        <f>BO$5+SUM(BP$5:BP59)+SUM(R$5:R59)-SUM(S$5:S59)+SUM(BS$5:BS59)</f>
        <v>400000</v>
      </c>
      <c r="BP60" s="10">
        <f t="shared" si="46"/>
        <v>0</v>
      </c>
      <c r="BQ60" s="10">
        <f t="shared" si="47"/>
        <v>0</v>
      </c>
      <c r="BR60" s="10">
        <f>IF(U60&lt;0,PMT(BN60/12,Podsumowanie!E$8-SUM(AB$5:AB60)+1,BO60),0)</f>
        <v>0</v>
      </c>
      <c r="BS60" s="10">
        <f t="shared" si="41"/>
        <v>0</v>
      </c>
      <c r="BU60" s="11">
        <f>BU$5+SUM(BW$5:BW59)+SUM(R$5:R59)-SUM(S$5:S59)+SUM(BY$5,BY59)</f>
        <v>400000</v>
      </c>
      <c r="BV60" s="10">
        <f t="shared" si="9"/>
        <v>0</v>
      </c>
      <c r="BW60" s="10">
        <f t="shared" si="10"/>
        <v>0</v>
      </c>
      <c r="BX60" s="10">
        <f t="shared" si="48"/>
        <v>0</v>
      </c>
      <c r="BY60" s="10">
        <f t="shared" si="49"/>
        <v>0</v>
      </c>
      <c r="CA60" s="10">
        <f>CA$5+SUM(CB$5:CB59)+SUM(R$5:R59)-SUM(S$5:S59)-SUM(CC$5:CC59)</f>
        <v>400000</v>
      </c>
      <c r="CB60" s="10">
        <f t="shared" si="42"/>
        <v>0</v>
      </c>
      <c r="CC60" s="10">
        <f t="shared" si="43"/>
        <v>0</v>
      </c>
      <c r="CD60" s="10">
        <f t="shared" si="44"/>
        <v>0</v>
      </c>
      <c r="CF60" s="44">
        <f t="shared" si="11"/>
        <v>0.8048</v>
      </c>
      <c r="CG60" s="10">
        <f t="shared" si="45"/>
        <v>0</v>
      </c>
      <c r="CH60" s="4">
        <f t="shared" si="50"/>
        <v>0</v>
      </c>
    </row>
    <row r="61" spans="1:86" ht="15.75">
      <c r="A61" s="36"/>
      <c r="B61" s="37">
        <v>38961</v>
      </c>
      <c r="C61" s="77">
        <f t="shared" si="1"/>
        <v>2.5062</v>
      </c>
      <c r="D61" s="78">
        <f>C61*(1+Podsumowanie!E$11)</f>
        <v>2.581386</v>
      </c>
      <c r="E61" s="34">
        <f t="shared" si="51"/>
        <v>0</v>
      </c>
      <c r="F61" s="7">
        <f t="shared" si="81"/>
        <v>0</v>
      </c>
      <c r="G61" s="7">
        <f t="shared" si="53"/>
        <v>0</v>
      </c>
      <c r="H61" s="7">
        <f t="shared" si="82"/>
        <v>0</v>
      </c>
      <c r="I61" s="32"/>
      <c r="J61" s="4" t="str">
        <f t="shared" si="55"/>
        <v xml:space="preserve"> </v>
      </c>
      <c r="K61" s="4">
        <f>IF(B61&lt;Podsumowanie!E$7,0,K60+1)</f>
        <v>0</v>
      </c>
      <c r="L61" s="100">
        <f t="shared" si="2"/>
        <v>0.0167</v>
      </c>
      <c r="M61" s="38">
        <f>L61+Podsumowanie!E$6</f>
        <v>0.0287</v>
      </c>
      <c r="N61" s="101">
        <f>MAX(Podsumowanie!E$4+SUM(AA$5:AA60)-SUM(X$5:X61)+SUM(W$5:W61),0)</f>
        <v>181357.6981355522</v>
      </c>
      <c r="O61" s="102">
        <f>MAX(Podsumowanie!E$2+SUM(V$5:V60)-SUM(S$5:S61)+SUM(R$5:R61),0)</f>
        <v>400000</v>
      </c>
      <c r="P61" s="39">
        <f t="shared" si="56"/>
        <v>360</v>
      </c>
      <c r="Q61" s="40" t="str">
        <f>IF(AND(K61&gt;0,K61&lt;=Podsumowanie!E$9),"tak","nie")</f>
        <v>nie</v>
      </c>
      <c r="R61" s="41"/>
      <c r="S61" s="42"/>
      <c r="T61" s="88">
        <f t="shared" si="57"/>
        <v>0</v>
      </c>
      <c r="U61" s="89">
        <f>IF(Q61="tak",T61,IF(P61-SUM(AB$5:AB61)+1&gt;0,IF(Podsumowanie!E$7&lt;B61,IF(SUM(AB$5:AB61)-Podsumowanie!E$9+1&gt;0,PMT(M61/12,P61+1-SUM(AB$5:AB61),O61),T61),0),0))</f>
        <v>0</v>
      </c>
      <c r="V61" s="89">
        <f t="shared" si="83"/>
        <v>0</v>
      </c>
      <c r="W61" s="90" t="str">
        <f>IF(R61&gt;0,R61/(C61*(1-Podsumowanie!E$11))," ")</f>
        <v xml:space="preserve"> </v>
      </c>
      <c r="X61" s="90" t="str">
        <f t="shared" si="59"/>
        <v xml:space="preserve"> </v>
      </c>
      <c r="Y61" s="91">
        <f t="shared" si="3"/>
        <v>0</v>
      </c>
      <c r="Z61" s="90">
        <f>IF(P61-SUM(AB$5:AB61)+1&gt;0,IF(Podsumowanie!E$7&lt;B61,IF(SUM(AB$5:AB61)-Podsumowanie!E$9+1&gt;0,PMT(M61/12,P61+1-SUM(AB$5:AB61),N61),Y61),0),0)</f>
        <v>0</v>
      </c>
      <c r="AA61" s="90">
        <f t="shared" si="79"/>
        <v>0</v>
      </c>
      <c r="AB61" s="8" t="str">
        <f>IF(AND(Podsumowanie!E$7&lt;B61,SUM(AB$5:AB60)&lt;P60),1," ")</f>
        <v xml:space="preserve"> </v>
      </c>
      <c r="AD61" s="10">
        <f>Podsumowanie!E$4-SUM(AF$5:AF60)+SUM(W$42:W61)-SUM(X$42:X61)</f>
        <v>181357.6981355522</v>
      </c>
      <c r="AE61" s="10">
        <f t="shared" si="61"/>
        <v>0</v>
      </c>
      <c r="AF61" s="10">
        <f t="shared" si="62"/>
        <v>0</v>
      </c>
      <c r="AG61" s="10">
        <f t="shared" si="63"/>
        <v>0</v>
      </c>
      <c r="AH61" s="10">
        <f t="shared" si="64"/>
        <v>0</v>
      </c>
      <c r="AI61" s="10">
        <f>Podsumowanie!E$2-SUM(AK$5:AK60)+SUM(R$42:R61)-SUM(S$42:S61)</f>
        <v>400000</v>
      </c>
      <c r="AJ61" s="10">
        <f t="shared" si="65"/>
        <v>0</v>
      </c>
      <c r="AK61" s="10">
        <f t="shared" si="66"/>
        <v>0</v>
      </c>
      <c r="AL61" s="10">
        <f t="shared" si="67"/>
        <v>0</v>
      </c>
      <c r="AM61" s="10">
        <f t="shared" si="68"/>
        <v>0</v>
      </c>
      <c r="AO61" s="43">
        <f t="shared" si="69"/>
        <v>38961</v>
      </c>
      <c r="AP61" s="11">
        <f>AP$5+SUM(AS$5:AS60)-SUM(X$5:X61)+SUM(W$5:W61)</f>
        <v>175916.96719148563</v>
      </c>
      <c r="AQ61" s="10">
        <f t="shared" si="70"/>
        <v>0</v>
      </c>
      <c r="AR61" s="10">
        <f>IF(AB61=1,IF(Q61="tak",AQ61,PMT(M61/12,P61+1-SUM(AB$5:AB61),AP61)),0)</f>
        <v>0</v>
      </c>
      <c r="AS61" s="10">
        <f t="shared" si="71"/>
        <v>0</v>
      </c>
      <c r="AT61" s="10">
        <f t="shared" si="72"/>
        <v>0</v>
      </c>
      <c r="AV61" s="11">
        <f>AV$5+SUM(AX$5:AX60)+SUM(W$5:W60)-SUM(X$5:X60)</f>
        <v>175916.96719148563</v>
      </c>
      <c r="AW61" s="11">
        <f t="shared" si="73"/>
        <v>0</v>
      </c>
      <c r="AX61" s="11">
        <f t="shared" si="74"/>
        <v>0</v>
      </c>
      <c r="AY61" s="11">
        <f t="shared" si="75"/>
        <v>0</v>
      </c>
      <c r="AZ61" s="11">
        <f t="shared" si="76"/>
        <v>0</v>
      </c>
      <c r="BB61" s="191">
        <f t="shared" si="4"/>
        <v>0.0421</v>
      </c>
      <c r="BC61" s="44">
        <f>BB61+Podsumowanie!$E$6</f>
        <v>0.054099999999999995</v>
      </c>
      <c r="BD61" s="11">
        <f>BD$5+SUM(BE$5:BE60)+SUM(R$5:R60)-SUM(S$5:S60)</f>
        <v>400000</v>
      </c>
      <c r="BE61" s="10">
        <f t="shared" si="80"/>
        <v>0</v>
      </c>
      <c r="BF61" s="10">
        <f t="shared" si="78"/>
        <v>0</v>
      </c>
      <c r="BG61" s="10">
        <f>IF(U61&lt;0,PMT(BC61/12,Podsumowanie!E$8-SUM(AB$5:AB61)+1,BD61),0)</f>
        <v>0</v>
      </c>
      <c r="BI61" s="11">
        <f>BI$5+SUM(BK$5:BK60)+SUM(R$5:R60)-SUM(S$5:S60)</f>
        <v>400000</v>
      </c>
      <c r="BJ61" s="11">
        <f t="shared" si="5"/>
        <v>0</v>
      </c>
      <c r="BK61" s="11">
        <f t="shared" si="6"/>
        <v>0</v>
      </c>
      <c r="BL61" s="11">
        <f t="shared" si="7"/>
        <v>0</v>
      </c>
      <c r="BN61" s="44">
        <f t="shared" si="8"/>
        <v>0.0542</v>
      </c>
      <c r="BO61" s="11">
        <f>BO$5+SUM(BP$5:BP60)+SUM(R$5:R60)-SUM(S$5:S60)+SUM(BS$5:BS60)</f>
        <v>400000</v>
      </c>
      <c r="BP61" s="10">
        <f t="shared" si="46"/>
        <v>0</v>
      </c>
      <c r="BQ61" s="10">
        <f t="shared" si="47"/>
        <v>0</v>
      </c>
      <c r="BR61" s="10">
        <f>IF(U61&lt;0,PMT(BN61/12,Podsumowanie!E$8-SUM(AB$5:AB61)+1,BO61),0)</f>
        <v>0</v>
      </c>
      <c r="BS61" s="10">
        <f t="shared" si="41"/>
        <v>0</v>
      </c>
      <c r="BU61" s="11">
        <f>BU$5+SUM(BW$5:BW60)+SUM(R$5:R60)-SUM(S$5:S60)+SUM(BY$5,BY60)</f>
        <v>400000</v>
      </c>
      <c r="BV61" s="10">
        <f t="shared" si="9"/>
        <v>0</v>
      </c>
      <c r="BW61" s="10">
        <f t="shared" si="10"/>
        <v>0</v>
      </c>
      <c r="BX61" s="10">
        <f t="shared" si="48"/>
        <v>0</v>
      </c>
      <c r="BY61" s="10">
        <f t="shared" si="49"/>
        <v>0</v>
      </c>
      <c r="CA61" s="10">
        <f>CA$5+SUM(CB$5:CB60)+SUM(R$5:R60)-SUM(S$5:S60)-SUM(CC$5:CC60)</f>
        <v>400000</v>
      </c>
      <c r="CB61" s="10">
        <f t="shared" si="42"/>
        <v>0</v>
      </c>
      <c r="CC61" s="10">
        <f t="shared" si="43"/>
        <v>0</v>
      </c>
      <c r="CD61" s="10">
        <f t="shared" si="44"/>
        <v>0</v>
      </c>
      <c r="CF61" s="44">
        <f t="shared" si="11"/>
        <v>0.8012</v>
      </c>
      <c r="CG61" s="10">
        <f t="shared" si="45"/>
        <v>0</v>
      </c>
      <c r="CH61" s="4">
        <f t="shared" si="50"/>
        <v>0</v>
      </c>
    </row>
    <row r="62" spans="1:86" ht="15.75">
      <c r="A62" s="36"/>
      <c r="B62" s="37">
        <v>38991</v>
      </c>
      <c r="C62" s="77">
        <f t="shared" si="1"/>
        <v>2.4547</v>
      </c>
      <c r="D62" s="78">
        <f>C62*(1+Podsumowanie!E$11)</f>
        <v>2.5283409999999997</v>
      </c>
      <c r="E62" s="34">
        <f t="shared" si="51"/>
        <v>0</v>
      </c>
      <c r="F62" s="7">
        <f t="shared" si="81"/>
        <v>0</v>
      </c>
      <c r="G62" s="7">
        <f t="shared" si="53"/>
        <v>0</v>
      </c>
      <c r="H62" s="7">
        <f t="shared" si="82"/>
        <v>0</v>
      </c>
      <c r="I62" s="32"/>
      <c r="J62" s="4" t="str">
        <f t="shared" si="55"/>
        <v xml:space="preserve"> </v>
      </c>
      <c r="K62" s="4">
        <f>IF(B62&lt;Podsumowanie!E$7,0,K61+1)</f>
        <v>0</v>
      </c>
      <c r="L62" s="100">
        <f t="shared" si="2"/>
        <v>0.0181</v>
      </c>
      <c r="M62" s="38">
        <f>L62+Podsumowanie!E$6</f>
        <v>0.030100000000000002</v>
      </c>
      <c r="N62" s="101">
        <f>MAX(Podsumowanie!E$4+SUM(AA$5:AA61)-SUM(X$5:X62)+SUM(W$5:W62),0)</f>
        <v>181357.6981355522</v>
      </c>
      <c r="O62" s="102">
        <f>MAX(Podsumowanie!E$2+SUM(V$5:V61)-SUM(S$5:S62)+SUM(R$5:R62),0)</f>
        <v>400000</v>
      </c>
      <c r="P62" s="39">
        <f t="shared" si="56"/>
        <v>360</v>
      </c>
      <c r="Q62" s="40" t="str">
        <f>IF(AND(K62&gt;0,K62&lt;=Podsumowanie!E$9),"tak","nie")</f>
        <v>nie</v>
      </c>
      <c r="R62" s="41"/>
      <c r="S62" s="42"/>
      <c r="T62" s="88">
        <f t="shared" si="57"/>
        <v>0</v>
      </c>
      <c r="U62" s="89">
        <f>IF(Q62="tak",T62,IF(P62-SUM(AB$5:AB62)+1&gt;0,IF(Podsumowanie!E$7&lt;B62,IF(SUM(AB$5:AB62)-Podsumowanie!E$9+1&gt;0,PMT(M62/12,P62+1-SUM(AB$5:AB62),O62),T62),0),0))</f>
        <v>0</v>
      </c>
      <c r="V62" s="89">
        <f t="shared" si="83"/>
        <v>0</v>
      </c>
      <c r="W62" s="90" t="str">
        <f>IF(R62&gt;0,R62/(C62*(1-Podsumowanie!E$11))," ")</f>
        <v xml:space="preserve"> </v>
      </c>
      <c r="X62" s="90" t="str">
        <f t="shared" si="59"/>
        <v xml:space="preserve"> </v>
      </c>
      <c r="Y62" s="91">
        <f t="shared" si="3"/>
        <v>0</v>
      </c>
      <c r="Z62" s="90">
        <f>IF(P62-SUM(AB$5:AB62)+1&gt;0,IF(Podsumowanie!E$7&lt;B62,IF(SUM(AB$5:AB62)-Podsumowanie!E$9+1&gt;0,PMT(M62/12,P62+1-SUM(AB$5:AB62),N62),Y62),0),0)</f>
        <v>0</v>
      </c>
      <c r="AA62" s="90">
        <f t="shared" si="79"/>
        <v>0</v>
      </c>
      <c r="AB62" s="8" t="str">
        <f>IF(AND(Podsumowanie!E$7&lt;B62,SUM(AB$5:AB61)&lt;P61),1," ")</f>
        <v xml:space="preserve"> </v>
      </c>
      <c r="AD62" s="10">
        <f>Podsumowanie!E$4-SUM(AF$5:AF61)+SUM(W$42:W62)-SUM(X$42:X62)</f>
        <v>181357.6981355522</v>
      </c>
      <c r="AE62" s="10">
        <f t="shared" si="61"/>
        <v>0</v>
      </c>
      <c r="AF62" s="10">
        <f t="shared" si="62"/>
        <v>0</v>
      </c>
      <c r="AG62" s="10">
        <f t="shared" si="63"/>
        <v>0</v>
      </c>
      <c r="AH62" s="10">
        <f t="shared" si="64"/>
        <v>0</v>
      </c>
      <c r="AI62" s="10">
        <f>Podsumowanie!E$2-SUM(AK$5:AK61)+SUM(R$42:R62)-SUM(S$42:S62)</f>
        <v>400000</v>
      </c>
      <c r="AJ62" s="10">
        <f t="shared" si="65"/>
        <v>0</v>
      </c>
      <c r="AK62" s="10">
        <f t="shared" si="66"/>
        <v>0</v>
      </c>
      <c r="AL62" s="10">
        <f t="shared" si="67"/>
        <v>0</v>
      </c>
      <c r="AM62" s="10">
        <f t="shared" si="68"/>
        <v>0</v>
      </c>
      <c r="AO62" s="43">
        <f t="shared" si="69"/>
        <v>38991</v>
      </c>
      <c r="AP62" s="11">
        <f>AP$5+SUM(AS$5:AS61)-SUM(X$5:X62)+SUM(W$5:W62)</f>
        <v>175916.96719148563</v>
      </c>
      <c r="AQ62" s="10">
        <f t="shared" si="70"/>
        <v>0</v>
      </c>
      <c r="AR62" s="10">
        <f>IF(AB62=1,IF(Q62="tak",AQ62,PMT(M62/12,P62+1-SUM(AB$5:AB62),AP62)),0)</f>
        <v>0</v>
      </c>
      <c r="AS62" s="10">
        <f t="shared" si="71"/>
        <v>0</v>
      </c>
      <c r="AT62" s="10">
        <f t="shared" si="72"/>
        <v>0</v>
      </c>
      <c r="AV62" s="11">
        <f>AV$5+SUM(AX$5:AX61)+SUM(W$5:W61)-SUM(X$5:X61)</f>
        <v>175916.96719148563</v>
      </c>
      <c r="AW62" s="11">
        <f t="shared" si="73"/>
        <v>0</v>
      </c>
      <c r="AX62" s="11">
        <f t="shared" si="74"/>
        <v>0</v>
      </c>
      <c r="AY62" s="11">
        <f t="shared" si="75"/>
        <v>0</v>
      </c>
      <c r="AZ62" s="11">
        <f t="shared" si="76"/>
        <v>0</v>
      </c>
      <c r="BB62" s="191">
        <f t="shared" si="4"/>
        <v>0.0422</v>
      </c>
      <c r="BC62" s="44">
        <f>BB62+Podsumowanie!$E$6</f>
        <v>0.0542</v>
      </c>
      <c r="BD62" s="11">
        <f>BD$5+SUM(BE$5:BE61)+SUM(R$5:R61)-SUM(S$5:S61)</f>
        <v>400000</v>
      </c>
      <c r="BE62" s="10">
        <f t="shared" si="80"/>
        <v>0</v>
      </c>
      <c r="BF62" s="10">
        <f t="shared" si="78"/>
        <v>0</v>
      </c>
      <c r="BG62" s="10">
        <f>IF(U62&lt;0,PMT(BC62/12,Podsumowanie!E$8-SUM(AB$5:AB62)+1,BD62),0)</f>
        <v>0</v>
      </c>
      <c r="BI62" s="11">
        <f>BI$5+SUM(BK$5:BK61)+SUM(R$5:R61)-SUM(S$5:S61)</f>
        <v>400000</v>
      </c>
      <c r="BJ62" s="11">
        <f t="shared" si="5"/>
        <v>0</v>
      </c>
      <c r="BK62" s="11">
        <f t="shared" si="6"/>
        <v>0</v>
      </c>
      <c r="BL62" s="11">
        <f t="shared" si="7"/>
        <v>0</v>
      </c>
      <c r="BN62" s="44">
        <f t="shared" si="8"/>
        <v>0.0543</v>
      </c>
      <c r="BO62" s="11">
        <f>BO$5+SUM(BP$5:BP61)+SUM(R$5:R61)-SUM(S$5:S61)+SUM(BS$5:BS61)</f>
        <v>400000</v>
      </c>
      <c r="BP62" s="10">
        <f t="shared" si="46"/>
        <v>0</v>
      </c>
      <c r="BQ62" s="10">
        <f t="shared" si="47"/>
        <v>0</v>
      </c>
      <c r="BR62" s="10">
        <f>IF(U62&lt;0,PMT(BN62/12,Podsumowanie!E$8-SUM(AB$5:AB62)+1,BO62),0)</f>
        <v>0</v>
      </c>
      <c r="BS62" s="10">
        <f t="shared" si="41"/>
        <v>0</v>
      </c>
      <c r="BU62" s="11">
        <f>BU$5+SUM(BW$5:BW61)+SUM(R$5:R61)-SUM(S$5:S61)+SUM(BY$5,BY61)</f>
        <v>400000</v>
      </c>
      <c r="BV62" s="10">
        <f t="shared" si="9"/>
        <v>0</v>
      </c>
      <c r="BW62" s="10">
        <f t="shared" si="10"/>
        <v>0</v>
      </c>
      <c r="BX62" s="10">
        <f t="shared" si="48"/>
        <v>0</v>
      </c>
      <c r="BY62" s="10">
        <f t="shared" si="49"/>
        <v>0</v>
      </c>
      <c r="CA62" s="10">
        <f>CA$5+SUM(CB$5:CB61)+SUM(R$5:R61)-SUM(S$5:S61)-SUM(CC$5:CC61)</f>
        <v>400000</v>
      </c>
      <c r="CB62" s="10">
        <f t="shared" si="42"/>
        <v>0</v>
      </c>
      <c r="CC62" s="10">
        <f t="shared" si="43"/>
        <v>0</v>
      </c>
      <c r="CD62" s="10">
        <f t="shared" si="44"/>
        <v>0</v>
      </c>
      <c r="CF62" s="44">
        <f t="shared" si="11"/>
        <v>0.7994</v>
      </c>
      <c r="CG62" s="10">
        <f t="shared" si="45"/>
        <v>0</v>
      </c>
      <c r="CH62" s="4">
        <f t="shared" si="50"/>
        <v>0</v>
      </c>
    </row>
    <row r="63" spans="1:86" ht="15.75">
      <c r="A63" s="36"/>
      <c r="B63" s="37">
        <v>39022</v>
      </c>
      <c r="C63" s="77">
        <f t="shared" si="1"/>
        <v>2.4055</v>
      </c>
      <c r="D63" s="78">
        <f>C63*(1+Podsumowanie!E$11)</f>
        <v>2.477665</v>
      </c>
      <c r="E63" s="34">
        <f t="shared" si="51"/>
        <v>0</v>
      </c>
      <c r="F63" s="7">
        <f t="shared" si="81"/>
        <v>0</v>
      </c>
      <c r="G63" s="7">
        <f t="shared" si="53"/>
        <v>0</v>
      </c>
      <c r="H63" s="7">
        <f t="shared" si="82"/>
        <v>0</v>
      </c>
      <c r="I63" s="32"/>
      <c r="J63" s="4" t="str">
        <f t="shared" si="55"/>
        <v xml:space="preserve"> </v>
      </c>
      <c r="K63" s="4">
        <f>IF(B63&lt;Podsumowanie!E$7,0,K62+1)</f>
        <v>0</v>
      </c>
      <c r="L63" s="100">
        <f t="shared" si="2"/>
        <v>0.0181</v>
      </c>
      <c r="M63" s="38">
        <f>L63+Podsumowanie!E$6</f>
        <v>0.030100000000000002</v>
      </c>
      <c r="N63" s="101">
        <f>MAX(Podsumowanie!E$4+SUM(AA$5:AA62)-SUM(X$5:X63)+SUM(W$5:W63),0)</f>
        <v>181357.6981355522</v>
      </c>
      <c r="O63" s="102">
        <f>MAX(Podsumowanie!E$2+SUM(V$5:V62)-SUM(S$5:S63)+SUM(R$5:R63),0)</f>
        <v>400000</v>
      </c>
      <c r="P63" s="39">
        <f t="shared" si="56"/>
        <v>360</v>
      </c>
      <c r="Q63" s="40" t="str">
        <f>IF(AND(K63&gt;0,K63&lt;=Podsumowanie!E$9),"tak","nie")</f>
        <v>nie</v>
      </c>
      <c r="R63" s="41"/>
      <c r="S63" s="42"/>
      <c r="T63" s="88">
        <f t="shared" si="57"/>
        <v>0</v>
      </c>
      <c r="U63" s="89">
        <f>IF(Q63="tak",T63,IF(P63-SUM(AB$5:AB63)+1&gt;0,IF(Podsumowanie!E$7&lt;B63,IF(SUM(AB$5:AB63)-Podsumowanie!E$9+1&gt;0,PMT(M63/12,P63+1-SUM(AB$5:AB63),O63),T63),0),0))</f>
        <v>0</v>
      </c>
      <c r="V63" s="89">
        <f t="shared" si="83"/>
        <v>0</v>
      </c>
      <c r="W63" s="90" t="str">
        <f>IF(R63&gt;0,R63/(C63*(1-Podsumowanie!E$11))," ")</f>
        <v xml:space="preserve"> </v>
      </c>
      <c r="X63" s="90" t="str">
        <f t="shared" si="59"/>
        <v xml:space="preserve"> </v>
      </c>
      <c r="Y63" s="91">
        <f t="shared" si="3"/>
        <v>0</v>
      </c>
      <c r="Z63" s="90">
        <f>IF(P63-SUM(AB$5:AB63)+1&gt;0,IF(Podsumowanie!E$7&lt;B63,IF(SUM(AB$5:AB63)-Podsumowanie!E$9+1&gt;0,PMT(M63/12,P63+1-SUM(AB$5:AB63),N63),Y63),0),0)</f>
        <v>0</v>
      </c>
      <c r="AA63" s="90">
        <f t="shared" si="79"/>
        <v>0</v>
      </c>
      <c r="AB63" s="8" t="str">
        <f>IF(AND(Podsumowanie!E$7&lt;B63,SUM(AB$5:AB62)&lt;P62),1," ")</f>
        <v xml:space="preserve"> </v>
      </c>
      <c r="AD63" s="10">
        <f>Podsumowanie!E$4-SUM(AF$5:AF62)+SUM(W$42:W63)-SUM(X$42:X63)</f>
        <v>181357.6981355522</v>
      </c>
      <c r="AE63" s="10">
        <f t="shared" si="61"/>
        <v>0</v>
      </c>
      <c r="AF63" s="10">
        <f t="shared" si="62"/>
        <v>0</v>
      </c>
      <c r="AG63" s="10">
        <f t="shared" si="63"/>
        <v>0</v>
      </c>
      <c r="AH63" s="10">
        <f t="shared" si="64"/>
        <v>0</v>
      </c>
      <c r="AI63" s="10">
        <f>Podsumowanie!E$2-SUM(AK$5:AK62)+SUM(R$42:R63)-SUM(S$42:S63)</f>
        <v>400000</v>
      </c>
      <c r="AJ63" s="10">
        <f t="shared" si="65"/>
        <v>0</v>
      </c>
      <c r="AK63" s="10">
        <f t="shared" si="66"/>
        <v>0</v>
      </c>
      <c r="AL63" s="10">
        <f t="shared" si="67"/>
        <v>0</v>
      </c>
      <c r="AM63" s="10">
        <f t="shared" si="68"/>
        <v>0</v>
      </c>
      <c r="AO63" s="43">
        <f t="shared" si="69"/>
        <v>39022</v>
      </c>
      <c r="AP63" s="11">
        <f>AP$5+SUM(AS$5:AS62)-SUM(X$5:X63)+SUM(W$5:W63)</f>
        <v>175916.96719148563</v>
      </c>
      <c r="AQ63" s="10">
        <f t="shared" si="70"/>
        <v>0</v>
      </c>
      <c r="AR63" s="10">
        <f>IF(AB63=1,IF(Q63="tak",AQ63,PMT(M63/12,P63+1-SUM(AB$5:AB63),AP63)),0)</f>
        <v>0</v>
      </c>
      <c r="AS63" s="10">
        <f t="shared" si="71"/>
        <v>0</v>
      </c>
      <c r="AT63" s="10">
        <f t="shared" si="72"/>
        <v>0</v>
      </c>
      <c r="AV63" s="11">
        <f>AV$5+SUM(AX$5:AX62)+SUM(W$5:W62)-SUM(X$5:X62)</f>
        <v>175916.96719148563</v>
      </c>
      <c r="AW63" s="11">
        <f t="shared" si="73"/>
        <v>0</v>
      </c>
      <c r="AX63" s="11">
        <f t="shared" si="74"/>
        <v>0</v>
      </c>
      <c r="AY63" s="11">
        <f t="shared" si="75"/>
        <v>0</v>
      </c>
      <c r="AZ63" s="11">
        <f t="shared" si="76"/>
        <v>0</v>
      </c>
      <c r="BB63" s="191">
        <f t="shared" si="4"/>
        <v>0.042</v>
      </c>
      <c r="BC63" s="44">
        <f>BB63+Podsumowanie!$E$6</f>
        <v>0.054000000000000006</v>
      </c>
      <c r="BD63" s="11">
        <f>BD$5+SUM(BE$5:BE62)+SUM(R$5:R62)-SUM(S$5:S62)</f>
        <v>400000</v>
      </c>
      <c r="BE63" s="10">
        <f t="shared" si="80"/>
        <v>0</v>
      </c>
      <c r="BF63" s="10">
        <f t="shared" si="78"/>
        <v>0</v>
      </c>
      <c r="BG63" s="10">
        <f>IF(U63&lt;0,PMT(BC63/12,Podsumowanie!E$8-SUM(AB$5:AB63)+1,BD63),0)</f>
        <v>0</v>
      </c>
      <c r="BI63" s="11">
        <f>BI$5+SUM(BK$5:BK62)+SUM(R$5:R62)-SUM(S$5:S62)</f>
        <v>400000</v>
      </c>
      <c r="BJ63" s="11">
        <f t="shared" si="5"/>
        <v>0</v>
      </c>
      <c r="BK63" s="11">
        <f t="shared" si="6"/>
        <v>0</v>
      </c>
      <c r="BL63" s="11">
        <f t="shared" si="7"/>
        <v>0</v>
      </c>
      <c r="BN63" s="44">
        <f t="shared" si="8"/>
        <v>0.0541</v>
      </c>
      <c r="BO63" s="11">
        <f>BO$5+SUM(BP$5:BP62)+SUM(R$5:R62)-SUM(S$5:S62)+SUM(BS$5:BS62)</f>
        <v>400000</v>
      </c>
      <c r="BP63" s="10">
        <f t="shared" si="46"/>
        <v>0</v>
      </c>
      <c r="BQ63" s="10">
        <f t="shared" si="47"/>
        <v>0</v>
      </c>
      <c r="BR63" s="10">
        <f>IF(U63&lt;0,PMT(BN63/12,Podsumowanie!E$8-SUM(AB$5:AB63)+1,BO63),0)</f>
        <v>0</v>
      </c>
      <c r="BS63" s="10">
        <f t="shared" si="41"/>
        <v>0</v>
      </c>
      <c r="BU63" s="11">
        <f>BU$5+SUM(BW$5:BW62)+SUM(R$5:R62)-SUM(S$5:S62)+SUM(BY$5,BY62)</f>
        <v>400000</v>
      </c>
      <c r="BV63" s="10">
        <f t="shared" si="9"/>
        <v>0</v>
      </c>
      <c r="BW63" s="10">
        <f t="shared" si="10"/>
        <v>0</v>
      </c>
      <c r="BX63" s="10">
        <f t="shared" si="48"/>
        <v>0</v>
      </c>
      <c r="BY63" s="10">
        <f t="shared" si="49"/>
        <v>0</v>
      </c>
      <c r="CA63" s="10">
        <f>CA$5+SUM(CB$5:CB62)+SUM(R$5:R62)-SUM(S$5:S62)-SUM(CC$5:CC62)</f>
        <v>400000</v>
      </c>
      <c r="CB63" s="10">
        <f t="shared" si="42"/>
        <v>0</v>
      </c>
      <c r="CC63" s="10">
        <f t="shared" si="43"/>
        <v>0</v>
      </c>
      <c r="CD63" s="10">
        <f t="shared" si="44"/>
        <v>0</v>
      </c>
      <c r="CF63" s="44">
        <f t="shared" si="11"/>
        <v>0.7994</v>
      </c>
      <c r="CG63" s="10">
        <f t="shared" si="45"/>
        <v>0</v>
      </c>
      <c r="CH63" s="4">
        <f t="shared" si="50"/>
        <v>0</v>
      </c>
    </row>
    <row r="64" spans="1:86" ht="15.75">
      <c r="A64" s="36"/>
      <c r="B64" s="37">
        <v>39052</v>
      </c>
      <c r="C64" s="77">
        <f t="shared" si="1"/>
        <v>2.3874</v>
      </c>
      <c r="D64" s="78">
        <f>C64*(1+Podsumowanie!E$11)</f>
        <v>2.459022</v>
      </c>
      <c r="E64" s="34">
        <f t="shared" si="51"/>
        <v>0</v>
      </c>
      <c r="F64" s="7">
        <f t="shared" si="81"/>
        <v>0</v>
      </c>
      <c r="G64" s="7">
        <f t="shared" si="53"/>
        <v>0</v>
      </c>
      <c r="H64" s="7">
        <f t="shared" si="82"/>
        <v>0</v>
      </c>
      <c r="I64" s="32"/>
      <c r="J64" s="4" t="str">
        <f t="shared" si="55"/>
        <v xml:space="preserve"> </v>
      </c>
      <c r="K64" s="4">
        <f>IF(B64&lt;Podsumowanie!E$7,0,K63+1)</f>
        <v>0</v>
      </c>
      <c r="L64" s="100">
        <f t="shared" si="2"/>
        <v>0.0194</v>
      </c>
      <c r="M64" s="38">
        <f>L64+Podsumowanie!E$6</f>
        <v>0.0314</v>
      </c>
      <c r="N64" s="101">
        <f>MAX(Podsumowanie!E$4+SUM(AA$5:AA63)-SUM(X$5:X64)+SUM(W$5:W64),0)</f>
        <v>181357.6981355522</v>
      </c>
      <c r="O64" s="102">
        <f>MAX(Podsumowanie!E$2+SUM(V$5:V63)-SUM(S$5:S64)+SUM(R$5:R64),0)</f>
        <v>400000</v>
      </c>
      <c r="P64" s="39">
        <f t="shared" si="56"/>
        <v>360</v>
      </c>
      <c r="Q64" s="40" t="str">
        <f>IF(AND(K64&gt;0,K64&lt;=Podsumowanie!E$9),"tak","nie")</f>
        <v>nie</v>
      </c>
      <c r="R64" s="41"/>
      <c r="S64" s="42"/>
      <c r="T64" s="88">
        <f t="shared" si="57"/>
        <v>0</v>
      </c>
      <c r="U64" s="89">
        <f>IF(Q64="tak",T64,IF(P64-SUM(AB$5:AB64)+1&gt;0,IF(Podsumowanie!E$7&lt;B64,IF(SUM(AB$5:AB64)-Podsumowanie!E$9+1&gt;0,PMT(M64/12,P64+1-SUM(AB$5:AB64),O64),T64),0),0))</f>
        <v>0</v>
      </c>
      <c r="V64" s="89">
        <f t="shared" si="83"/>
        <v>0</v>
      </c>
      <c r="W64" s="90" t="str">
        <f>IF(R64&gt;0,R64/(C64*(1-Podsumowanie!E$11))," ")</f>
        <v xml:space="preserve"> </v>
      </c>
      <c r="X64" s="90" t="str">
        <f t="shared" si="59"/>
        <v xml:space="preserve"> </v>
      </c>
      <c r="Y64" s="91">
        <f t="shared" si="3"/>
        <v>0</v>
      </c>
      <c r="Z64" s="90">
        <f>IF(P64-SUM(AB$5:AB64)+1&gt;0,IF(Podsumowanie!E$7&lt;B64,IF(SUM(AB$5:AB64)-Podsumowanie!E$9+1&gt;0,PMT(M64/12,P64+1-SUM(AB$5:AB64),N64),Y64),0),0)</f>
        <v>0</v>
      </c>
      <c r="AA64" s="90">
        <f t="shared" si="79"/>
        <v>0</v>
      </c>
      <c r="AB64" s="8" t="str">
        <f>IF(AND(Podsumowanie!E$7&lt;B64,SUM(AB$5:AB63)&lt;P63),1," ")</f>
        <v xml:space="preserve"> </v>
      </c>
      <c r="AD64" s="10">
        <f>Podsumowanie!E$4-SUM(AF$5:AF63)+SUM(W$42:W64)-SUM(X$42:X64)</f>
        <v>181357.6981355522</v>
      </c>
      <c r="AE64" s="10">
        <f t="shared" si="61"/>
        <v>0</v>
      </c>
      <c r="AF64" s="10">
        <f t="shared" si="62"/>
        <v>0</v>
      </c>
      <c r="AG64" s="10">
        <f t="shared" si="63"/>
        <v>0</v>
      </c>
      <c r="AH64" s="10">
        <f t="shared" si="64"/>
        <v>0</v>
      </c>
      <c r="AI64" s="10">
        <f>Podsumowanie!E$2-SUM(AK$5:AK63)+SUM(R$42:R64)-SUM(S$42:S64)</f>
        <v>400000</v>
      </c>
      <c r="AJ64" s="10">
        <f t="shared" si="65"/>
        <v>0</v>
      </c>
      <c r="AK64" s="10">
        <f t="shared" si="66"/>
        <v>0</v>
      </c>
      <c r="AL64" s="10">
        <f t="shared" si="67"/>
        <v>0</v>
      </c>
      <c r="AM64" s="10">
        <f t="shared" si="68"/>
        <v>0</v>
      </c>
      <c r="AO64" s="43">
        <f t="shared" si="69"/>
        <v>39052</v>
      </c>
      <c r="AP64" s="11">
        <f>AP$5+SUM(AS$5:AS63)-SUM(X$5:X64)+SUM(W$5:W64)</f>
        <v>175916.96719148563</v>
      </c>
      <c r="AQ64" s="10">
        <f t="shared" si="70"/>
        <v>0</v>
      </c>
      <c r="AR64" s="10">
        <f>IF(AB64=1,IF(Q64="tak",AQ64,PMT(M64/12,P64+1-SUM(AB$5:AB64),AP64)),0)</f>
        <v>0</v>
      </c>
      <c r="AS64" s="10">
        <f t="shared" si="71"/>
        <v>0</v>
      </c>
      <c r="AT64" s="10">
        <f t="shared" si="72"/>
        <v>0</v>
      </c>
      <c r="AV64" s="11">
        <f>AV$5+SUM(AX$5:AX63)+SUM(W$5:W63)-SUM(X$5:X63)</f>
        <v>175916.96719148563</v>
      </c>
      <c r="AW64" s="11">
        <f t="shared" si="73"/>
        <v>0</v>
      </c>
      <c r="AX64" s="11">
        <f t="shared" si="74"/>
        <v>0</v>
      </c>
      <c r="AY64" s="11">
        <f t="shared" si="75"/>
        <v>0</v>
      </c>
      <c r="AZ64" s="11">
        <f t="shared" si="76"/>
        <v>0</v>
      </c>
      <c r="BB64" s="191">
        <f t="shared" si="4"/>
        <v>0.042</v>
      </c>
      <c r="BC64" s="44">
        <f>BB64+Podsumowanie!$E$6</f>
        <v>0.054000000000000006</v>
      </c>
      <c r="BD64" s="11">
        <f>BD$5+SUM(BE$5:BE63)+SUM(R$5:R63)-SUM(S$5:S63)</f>
        <v>400000</v>
      </c>
      <c r="BE64" s="10">
        <f t="shared" si="80"/>
        <v>0</v>
      </c>
      <c r="BF64" s="10">
        <f t="shared" si="78"/>
        <v>0</v>
      </c>
      <c r="BG64" s="10">
        <f>IF(U64&lt;0,PMT(BC64/12,Podsumowanie!E$8-SUM(AB$5:AB64)+1,BD64),0)</f>
        <v>0</v>
      </c>
      <c r="BI64" s="11">
        <f>BI$5+SUM(BK$5:BK63)+SUM(R$5:R63)-SUM(S$5:S63)</f>
        <v>400000</v>
      </c>
      <c r="BJ64" s="11">
        <f t="shared" si="5"/>
        <v>0</v>
      </c>
      <c r="BK64" s="11">
        <f t="shared" si="6"/>
        <v>0</v>
      </c>
      <c r="BL64" s="11">
        <f t="shared" si="7"/>
        <v>0</v>
      </c>
      <c r="BN64" s="44">
        <f t="shared" si="8"/>
        <v>0.0541</v>
      </c>
      <c r="BO64" s="11">
        <f>BO$5+SUM(BP$5:BP63)+SUM(R$5:R63)-SUM(S$5:S63)+SUM(BS$5:BS63)</f>
        <v>400000</v>
      </c>
      <c r="BP64" s="10">
        <f t="shared" si="46"/>
        <v>0</v>
      </c>
      <c r="BQ64" s="10">
        <f t="shared" si="47"/>
        <v>0</v>
      </c>
      <c r="BR64" s="10">
        <f>IF(U64&lt;0,PMT(BN64/12,Podsumowanie!E$8-SUM(AB$5:AB64)+1,BO64),0)</f>
        <v>0</v>
      </c>
      <c r="BS64" s="10">
        <f t="shared" si="41"/>
        <v>0</v>
      </c>
      <c r="BU64" s="11">
        <f>BU$5+SUM(BW$5:BW63)+SUM(R$5:R63)-SUM(S$5:S63)+SUM(BY$5,BY63)</f>
        <v>400000</v>
      </c>
      <c r="BV64" s="10">
        <f t="shared" si="9"/>
        <v>0</v>
      </c>
      <c r="BW64" s="10">
        <f t="shared" si="10"/>
        <v>0</v>
      </c>
      <c r="BX64" s="10">
        <f t="shared" si="48"/>
        <v>0</v>
      </c>
      <c r="BY64" s="10">
        <f t="shared" si="49"/>
        <v>0</v>
      </c>
      <c r="CA64" s="10">
        <f>CA$5+SUM(CB$5:CB63)+SUM(R$5:R63)-SUM(S$5:S63)-SUM(CC$5:CC63)</f>
        <v>400000</v>
      </c>
      <c r="CB64" s="10">
        <f t="shared" si="42"/>
        <v>0</v>
      </c>
      <c r="CC64" s="10">
        <f t="shared" si="43"/>
        <v>0</v>
      </c>
      <c r="CD64" s="10">
        <f t="shared" si="44"/>
        <v>0</v>
      </c>
      <c r="CF64" s="44">
        <f t="shared" si="11"/>
        <v>0.803</v>
      </c>
      <c r="CG64" s="10">
        <f t="shared" si="45"/>
        <v>0</v>
      </c>
      <c r="CH64" s="4">
        <f t="shared" si="50"/>
        <v>0</v>
      </c>
    </row>
    <row r="65" spans="1:86" ht="15.75">
      <c r="A65" s="36">
        <v>2007</v>
      </c>
      <c r="B65" s="37">
        <v>39083</v>
      </c>
      <c r="C65" s="77">
        <f t="shared" si="1"/>
        <v>2.4015</v>
      </c>
      <c r="D65" s="78">
        <f>C65*(1+Podsumowanie!E$11)</f>
        <v>2.473545</v>
      </c>
      <c r="E65" s="34">
        <f t="shared" si="51"/>
        <v>0</v>
      </c>
      <c r="F65" s="7">
        <f t="shared" si="81"/>
        <v>0</v>
      </c>
      <c r="G65" s="7">
        <f t="shared" si="53"/>
        <v>0</v>
      </c>
      <c r="H65" s="7">
        <f t="shared" si="82"/>
        <v>0</v>
      </c>
      <c r="I65" s="32"/>
      <c r="J65" s="4" t="str">
        <f t="shared" si="55"/>
        <v xml:space="preserve"> </v>
      </c>
      <c r="K65" s="4">
        <f>IF(B65&lt;Podsumowanie!E$7,0,K64+1)</f>
        <v>0</v>
      </c>
      <c r="L65" s="100">
        <f t="shared" si="2"/>
        <v>0.021</v>
      </c>
      <c r="M65" s="38">
        <f>L65+Podsumowanie!E$6</f>
        <v>0.033</v>
      </c>
      <c r="N65" s="101">
        <f>MAX(Podsumowanie!E$4+SUM(AA$5:AA64)-SUM(X$5:X65)+SUM(W$5:W65),0)</f>
        <v>181357.6981355522</v>
      </c>
      <c r="O65" s="102">
        <f>MAX(Podsumowanie!E$2+SUM(V$5:V64)-SUM(S$5:S65)+SUM(R$5:R65),0)</f>
        <v>400000</v>
      </c>
      <c r="P65" s="39">
        <f t="shared" si="56"/>
        <v>360</v>
      </c>
      <c r="Q65" s="40" t="str">
        <f>IF(AND(K65&gt;0,K65&lt;=Podsumowanie!E$9),"tak","nie")</f>
        <v>nie</v>
      </c>
      <c r="R65" s="41"/>
      <c r="S65" s="42"/>
      <c r="T65" s="88">
        <f t="shared" si="57"/>
        <v>0</v>
      </c>
      <c r="U65" s="89">
        <f>IF(Q65="tak",T65,IF(P65-SUM(AB$5:AB65)+1&gt;0,IF(Podsumowanie!E$7&lt;B65,IF(SUM(AB$5:AB65)-Podsumowanie!E$9+1&gt;0,PMT(M65/12,P65+1-SUM(AB$5:AB65),O65),T65),0),0))</f>
        <v>0</v>
      </c>
      <c r="V65" s="89">
        <f t="shared" si="83"/>
        <v>0</v>
      </c>
      <c r="W65" s="90" t="str">
        <f>IF(R65&gt;0,R65/(C65*(1-Podsumowanie!E$11))," ")</f>
        <v xml:space="preserve"> </v>
      </c>
      <c r="X65" s="90" t="str">
        <f t="shared" si="59"/>
        <v xml:space="preserve"> </v>
      </c>
      <c r="Y65" s="91">
        <f t="shared" si="3"/>
        <v>0</v>
      </c>
      <c r="Z65" s="90">
        <f>IF(P65-SUM(AB$5:AB65)+1&gt;0,IF(Podsumowanie!E$7&lt;B65,IF(SUM(AB$5:AB65)-Podsumowanie!E$9+1&gt;0,PMT(M65/12,P65+1-SUM(AB$5:AB65),N65),Y65),0),0)</f>
        <v>0</v>
      </c>
      <c r="AA65" s="90">
        <f t="shared" si="79"/>
        <v>0</v>
      </c>
      <c r="AB65" s="8" t="str">
        <f>IF(AND(Podsumowanie!E$7&lt;B65,SUM(AB$5:AB64)&lt;P64),1," ")</f>
        <v xml:space="preserve"> </v>
      </c>
      <c r="AD65" s="10">
        <f>Podsumowanie!E$4-SUM(AF$5:AF64)+SUM(W$42:W65)-SUM(X$42:X65)</f>
        <v>181357.6981355522</v>
      </c>
      <c r="AE65" s="10">
        <f t="shared" si="61"/>
        <v>0</v>
      </c>
      <c r="AF65" s="10">
        <f t="shared" si="62"/>
        <v>0</v>
      </c>
      <c r="AG65" s="10">
        <f t="shared" si="63"/>
        <v>0</v>
      </c>
      <c r="AH65" s="10">
        <f t="shared" si="64"/>
        <v>0</v>
      </c>
      <c r="AI65" s="10">
        <f>Podsumowanie!E$2-SUM(AK$5:AK64)+SUM(R$42:R65)-SUM(S$42:S65)</f>
        <v>400000</v>
      </c>
      <c r="AJ65" s="10">
        <f t="shared" si="65"/>
        <v>0</v>
      </c>
      <c r="AK65" s="10">
        <f t="shared" si="66"/>
        <v>0</v>
      </c>
      <c r="AL65" s="10">
        <f t="shared" si="67"/>
        <v>0</v>
      </c>
      <c r="AM65" s="10">
        <f t="shared" si="68"/>
        <v>0</v>
      </c>
      <c r="AO65" s="43">
        <f t="shared" si="69"/>
        <v>39083</v>
      </c>
      <c r="AP65" s="11">
        <f>AP$5+SUM(AS$5:AS64)-SUM(X$5:X65)+SUM(W$5:W65)</f>
        <v>175916.96719148563</v>
      </c>
      <c r="AQ65" s="10">
        <f t="shared" si="70"/>
        <v>0</v>
      </c>
      <c r="AR65" s="10">
        <f>IF(AB65=1,IF(Q65="tak",AQ65,PMT(M65/12,P65+1-SUM(AB$5:AB65),AP65)),0)</f>
        <v>0</v>
      </c>
      <c r="AS65" s="10">
        <f t="shared" si="71"/>
        <v>0</v>
      </c>
      <c r="AT65" s="10">
        <f t="shared" si="72"/>
        <v>0</v>
      </c>
      <c r="AV65" s="11">
        <f>AV$5+SUM(AX$5:AX64)+SUM(W$5:W64)-SUM(X$5:X64)</f>
        <v>175916.96719148563</v>
      </c>
      <c r="AW65" s="11">
        <f t="shared" si="73"/>
        <v>0</v>
      </c>
      <c r="AX65" s="11">
        <f t="shared" si="74"/>
        <v>0</v>
      </c>
      <c r="AY65" s="11">
        <f t="shared" si="75"/>
        <v>0</v>
      </c>
      <c r="AZ65" s="11">
        <f t="shared" si="76"/>
        <v>0</v>
      </c>
      <c r="BB65" s="191">
        <f t="shared" si="4"/>
        <v>0.042</v>
      </c>
      <c r="BC65" s="44">
        <f>BB65+Podsumowanie!$E$6</f>
        <v>0.054000000000000006</v>
      </c>
      <c r="BD65" s="11">
        <f>BD$5+SUM(BE$5:BE64)+SUM(R$5:R64)-SUM(S$5:S64)</f>
        <v>400000</v>
      </c>
      <c r="BE65" s="10">
        <f t="shared" si="80"/>
        <v>0</v>
      </c>
      <c r="BF65" s="10">
        <f t="shared" si="78"/>
        <v>0</v>
      </c>
      <c r="BG65" s="10">
        <f>IF(U65&lt;0,PMT(BC65/12,Podsumowanie!E$8-SUM(AB$5:AB65)+1,BD65),0)</f>
        <v>0</v>
      </c>
      <c r="BI65" s="11">
        <f>BI$5+SUM(BK$5:BK64)+SUM(R$5:R64)-SUM(S$5:S64)</f>
        <v>400000</v>
      </c>
      <c r="BJ65" s="11">
        <f t="shared" si="5"/>
        <v>0</v>
      </c>
      <c r="BK65" s="11">
        <f t="shared" si="6"/>
        <v>0</v>
      </c>
      <c r="BL65" s="11">
        <f t="shared" si="7"/>
        <v>0</v>
      </c>
      <c r="BN65" s="44">
        <f t="shared" si="8"/>
        <v>0.0541</v>
      </c>
      <c r="BO65" s="11">
        <f>BO$5+SUM(BP$5:BP64)+SUM(R$5:R64)-SUM(S$5:S64)+SUM(BS$5:BS64)</f>
        <v>400000</v>
      </c>
      <c r="BP65" s="10">
        <f t="shared" si="46"/>
        <v>0</v>
      </c>
      <c r="BQ65" s="10">
        <f t="shared" si="47"/>
        <v>0</v>
      </c>
      <c r="BR65" s="10">
        <f>IF(U65&lt;0,PMT(BN65/12,Podsumowanie!E$8-SUM(AB$5:AB65)+1,BO65),0)</f>
        <v>0</v>
      </c>
      <c r="BS65" s="10">
        <f t="shared" si="41"/>
        <v>0</v>
      </c>
      <c r="BU65" s="11">
        <f>BU$5+SUM(BW$5:BW64)+SUM(R$5:R64)-SUM(S$5:S64)+SUM(BY$5,BY64)</f>
        <v>400000</v>
      </c>
      <c r="BV65" s="10">
        <f t="shared" si="9"/>
        <v>0</v>
      </c>
      <c r="BW65" s="10">
        <f t="shared" si="10"/>
        <v>0</v>
      </c>
      <c r="BX65" s="10">
        <f t="shared" si="48"/>
        <v>0</v>
      </c>
      <c r="BY65" s="10">
        <f t="shared" si="49"/>
        <v>0</v>
      </c>
      <c r="CA65" s="10">
        <f>CA$5+SUM(CB$5:CB64)+SUM(R$5:R64)-SUM(S$5:S64)-SUM(CC$5:CC64)</f>
        <v>400000</v>
      </c>
      <c r="CB65" s="10">
        <f t="shared" si="42"/>
        <v>0</v>
      </c>
      <c r="CC65" s="10">
        <f t="shared" si="43"/>
        <v>0</v>
      </c>
      <c r="CD65" s="10">
        <f t="shared" si="44"/>
        <v>0</v>
      </c>
      <c r="CF65" s="44">
        <f t="shared" si="11"/>
        <v>0.7958</v>
      </c>
      <c r="CG65" s="10">
        <f t="shared" si="45"/>
        <v>0</v>
      </c>
      <c r="CH65" s="4">
        <f t="shared" si="50"/>
        <v>0</v>
      </c>
    </row>
    <row r="66" spans="1:86" ht="15.75">
      <c r="A66" s="36"/>
      <c r="B66" s="37">
        <v>39114</v>
      </c>
      <c r="C66" s="77">
        <f t="shared" si="1"/>
        <v>2.4018</v>
      </c>
      <c r="D66" s="78">
        <f>C66*(1+Podsumowanie!E$11)</f>
        <v>2.473854</v>
      </c>
      <c r="E66" s="34">
        <f t="shared" si="51"/>
        <v>0</v>
      </c>
      <c r="F66" s="7">
        <f t="shared" si="81"/>
        <v>0</v>
      </c>
      <c r="G66" s="7">
        <f t="shared" si="53"/>
        <v>0</v>
      </c>
      <c r="H66" s="7">
        <f t="shared" si="82"/>
        <v>0</v>
      </c>
      <c r="I66" s="32"/>
      <c r="J66" s="4" t="str">
        <f t="shared" si="55"/>
        <v xml:space="preserve"> </v>
      </c>
      <c r="K66" s="4">
        <f>IF(B66&lt;Podsumowanie!E$7,0,K65+1)</f>
        <v>0</v>
      </c>
      <c r="L66" s="100">
        <f t="shared" si="2"/>
        <v>0.021</v>
      </c>
      <c r="M66" s="38">
        <f>L66+Podsumowanie!E$6</f>
        <v>0.033</v>
      </c>
      <c r="N66" s="101">
        <f>MAX(Podsumowanie!E$4+SUM(AA$5:AA65)-SUM(X$5:X66)+SUM(W$5:W66),0)</f>
        <v>181357.6981355522</v>
      </c>
      <c r="O66" s="102">
        <f>MAX(Podsumowanie!E$2+SUM(V$5:V65)-SUM(S$5:S66)+SUM(R$5:R66),0)</f>
        <v>400000</v>
      </c>
      <c r="P66" s="39">
        <f t="shared" si="56"/>
        <v>360</v>
      </c>
      <c r="Q66" s="40" t="str">
        <f>IF(AND(K66&gt;0,K66&lt;=Podsumowanie!E$9),"tak","nie")</f>
        <v>nie</v>
      </c>
      <c r="R66" s="41"/>
      <c r="S66" s="42"/>
      <c r="T66" s="88">
        <f t="shared" si="57"/>
        <v>0</v>
      </c>
      <c r="U66" s="89">
        <f>IF(Q66="tak",T66,IF(P66-SUM(AB$5:AB66)+1&gt;0,IF(Podsumowanie!E$7&lt;B66,IF(SUM(AB$5:AB66)-Podsumowanie!E$9+1&gt;0,PMT(M66/12,P66+1-SUM(AB$5:AB66),O66),T66),0),0))</f>
        <v>0</v>
      </c>
      <c r="V66" s="89">
        <f t="shared" si="83"/>
        <v>0</v>
      </c>
      <c r="W66" s="90" t="str">
        <f>IF(R66&gt;0,R66/(C66*(1-Podsumowanie!E$11))," ")</f>
        <v xml:space="preserve"> </v>
      </c>
      <c r="X66" s="90" t="str">
        <f t="shared" si="59"/>
        <v xml:space="preserve"> </v>
      </c>
      <c r="Y66" s="91">
        <f t="shared" si="3"/>
        <v>0</v>
      </c>
      <c r="Z66" s="90">
        <f>IF(P66-SUM(AB$5:AB66)+1&gt;0,IF(Podsumowanie!E$7&lt;B66,IF(SUM(AB$5:AB66)-Podsumowanie!E$9+1&gt;0,PMT(M66/12,P66+1-SUM(AB$5:AB66),N66),Y66),0),0)</f>
        <v>0</v>
      </c>
      <c r="AA66" s="90">
        <f t="shared" si="79"/>
        <v>0</v>
      </c>
      <c r="AB66" s="8" t="str">
        <f>IF(AND(Podsumowanie!E$7&lt;B66,SUM(AB$5:AB65)&lt;P65),1," ")</f>
        <v xml:space="preserve"> </v>
      </c>
      <c r="AD66" s="10">
        <f>Podsumowanie!E$4-SUM(AF$5:AF65)+SUM(W$42:W66)-SUM(X$42:X66)</f>
        <v>181357.6981355522</v>
      </c>
      <c r="AE66" s="10">
        <f t="shared" si="61"/>
        <v>0</v>
      </c>
      <c r="AF66" s="10">
        <f t="shared" si="62"/>
        <v>0</v>
      </c>
      <c r="AG66" s="10">
        <f t="shared" si="63"/>
        <v>0</v>
      </c>
      <c r="AH66" s="10">
        <f t="shared" si="64"/>
        <v>0</v>
      </c>
      <c r="AI66" s="10">
        <f>Podsumowanie!E$2-SUM(AK$5:AK65)+SUM(R$42:R66)-SUM(S$42:S66)</f>
        <v>400000</v>
      </c>
      <c r="AJ66" s="10">
        <f t="shared" si="65"/>
        <v>0</v>
      </c>
      <c r="AK66" s="10">
        <f t="shared" si="66"/>
        <v>0</v>
      </c>
      <c r="AL66" s="10">
        <f t="shared" si="67"/>
        <v>0</v>
      </c>
      <c r="AM66" s="10">
        <f t="shared" si="68"/>
        <v>0</v>
      </c>
      <c r="AO66" s="43">
        <f t="shared" si="69"/>
        <v>39114</v>
      </c>
      <c r="AP66" s="11">
        <f>AP$5+SUM(AS$5:AS65)-SUM(X$5:X66)+SUM(W$5:W66)</f>
        <v>175916.96719148563</v>
      </c>
      <c r="AQ66" s="10">
        <f t="shared" si="70"/>
        <v>0</v>
      </c>
      <c r="AR66" s="10">
        <f>IF(AB66=1,IF(Q66="tak",AQ66,PMT(M66/12,P66+1-SUM(AB$5:AB66),AP66)),0)</f>
        <v>0</v>
      </c>
      <c r="AS66" s="10">
        <f t="shared" si="71"/>
        <v>0</v>
      </c>
      <c r="AT66" s="10">
        <f t="shared" si="72"/>
        <v>0</v>
      </c>
      <c r="AV66" s="11">
        <f>AV$5+SUM(AX$5:AX65)+SUM(W$5:W65)-SUM(X$5:X65)</f>
        <v>175916.96719148563</v>
      </c>
      <c r="AW66" s="11">
        <f t="shared" si="73"/>
        <v>0</v>
      </c>
      <c r="AX66" s="11">
        <f t="shared" si="74"/>
        <v>0</v>
      </c>
      <c r="AY66" s="11">
        <f t="shared" si="75"/>
        <v>0</v>
      </c>
      <c r="AZ66" s="11">
        <f t="shared" si="76"/>
        <v>0</v>
      </c>
      <c r="BB66" s="191">
        <f t="shared" si="4"/>
        <v>0.042</v>
      </c>
      <c r="BC66" s="44">
        <f>BB66+Podsumowanie!$E$6</f>
        <v>0.054000000000000006</v>
      </c>
      <c r="BD66" s="11">
        <f>BD$5+SUM(BE$5:BE65)+SUM(R$5:R65)-SUM(S$5:S65)</f>
        <v>400000</v>
      </c>
      <c r="BE66" s="10">
        <f t="shared" si="80"/>
        <v>0</v>
      </c>
      <c r="BF66" s="10">
        <f t="shared" si="78"/>
        <v>0</v>
      </c>
      <c r="BG66" s="10">
        <f>IF(U66&lt;0,PMT(BC66/12,Podsumowanie!E$8-SUM(AB$5:AB66)+1,BD66),0)</f>
        <v>0</v>
      </c>
      <c r="BI66" s="11">
        <f>BI$5+SUM(BK$5:BK65)+SUM(R$5:R65)-SUM(S$5:S65)</f>
        <v>400000</v>
      </c>
      <c r="BJ66" s="11">
        <f t="shared" si="5"/>
        <v>0</v>
      </c>
      <c r="BK66" s="11">
        <f t="shared" si="6"/>
        <v>0</v>
      </c>
      <c r="BL66" s="11">
        <f t="shared" si="7"/>
        <v>0</v>
      </c>
      <c r="BN66" s="44">
        <f t="shared" si="8"/>
        <v>0.0541</v>
      </c>
      <c r="BO66" s="11">
        <f>BO$5+SUM(BP$5:BP65)+SUM(R$5:R65)-SUM(S$5:S65)+SUM(BS$5:BS65)</f>
        <v>400000</v>
      </c>
      <c r="BP66" s="10">
        <f t="shared" si="46"/>
        <v>0</v>
      </c>
      <c r="BQ66" s="10">
        <f t="shared" si="47"/>
        <v>0</v>
      </c>
      <c r="BR66" s="10">
        <f>IF(U66&lt;0,PMT(BN66/12,Podsumowanie!E$8-SUM(AB$5:AB66)+1,BO66),0)</f>
        <v>0</v>
      </c>
      <c r="BS66" s="10">
        <f t="shared" si="41"/>
        <v>0</v>
      </c>
      <c r="BU66" s="11">
        <f>BU$5+SUM(BW$5:BW65)+SUM(R$5:R65)-SUM(S$5:S65)+SUM(BY$5,BY65)</f>
        <v>400000</v>
      </c>
      <c r="BV66" s="10">
        <f t="shared" si="9"/>
        <v>0</v>
      </c>
      <c r="BW66" s="10">
        <f t="shared" si="10"/>
        <v>0</v>
      </c>
      <c r="BX66" s="10">
        <f t="shared" si="48"/>
        <v>0</v>
      </c>
      <c r="BY66" s="10">
        <f t="shared" si="49"/>
        <v>0</v>
      </c>
      <c r="CA66" s="10">
        <f>CA$5+SUM(CB$5:CB65)+SUM(R$5:R65)-SUM(S$5:S65)-SUM(CC$5:CC65)</f>
        <v>400000</v>
      </c>
      <c r="CB66" s="10">
        <f t="shared" si="42"/>
        <v>0</v>
      </c>
      <c r="CC66" s="10">
        <f t="shared" si="43"/>
        <v>0</v>
      </c>
      <c r="CD66" s="10">
        <f t="shared" si="44"/>
        <v>0</v>
      </c>
      <c r="CF66" s="44">
        <f t="shared" si="11"/>
        <v>0.7904</v>
      </c>
      <c r="CG66" s="10">
        <f t="shared" si="45"/>
        <v>0</v>
      </c>
      <c r="CH66" s="4">
        <f t="shared" si="50"/>
        <v>0</v>
      </c>
    </row>
    <row r="67" spans="1:86" ht="15.75">
      <c r="A67" s="36"/>
      <c r="B67" s="37">
        <v>39142</v>
      </c>
      <c r="C67" s="77">
        <f t="shared" si="1"/>
        <v>2.4101</v>
      </c>
      <c r="D67" s="78">
        <f>C67*(1+Podsumowanie!E$11)</f>
        <v>2.482403</v>
      </c>
      <c r="E67" s="34">
        <f t="shared" si="51"/>
        <v>0</v>
      </c>
      <c r="F67" s="7">
        <f t="shared" si="81"/>
        <v>0</v>
      </c>
      <c r="G67" s="7">
        <f t="shared" si="53"/>
        <v>0</v>
      </c>
      <c r="H67" s="7">
        <f t="shared" si="82"/>
        <v>0</v>
      </c>
      <c r="I67" s="32"/>
      <c r="J67" s="4" t="str">
        <f t="shared" si="55"/>
        <v xml:space="preserve"> </v>
      </c>
      <c r="K67" s="4">
        <f>IF(B67&lt;Podsumowanie!E$7,0,K66+1)</f>
        <v>0</v>
      </c>
      <c r="L67" s="100">
        <f t="shared" si="2"/>
        <v>0.0223</v>
      </c>
      <c r="M67" s="38">
        <f>L67+Podsumowanie!E$6</f>
        <v>0.0343</v>
      </c>
      <c r="N67" s="101">
        <f>MAX(Podsumowanie!E$4+SUM(AA$5:AA66)-SUM(X$5:X67)+SUM(W$5:W67),0)</f>
        <v>181357.6981355522</v>
      </c>
      <c r="O67" s="102">
        <f>MAX(Podsumowanie!E$2+SUM(V$5:V66)-SUM(S$5:S67)+SUM(R$5:R67),0)</f>
        <v>400000</v>
      </c>
      <c r="P67" s="39">
        <f t="shared" si="56"/>
        <v>360</v>
      </c>
      <c r="Q67" s="40" t="str">
        <f>IF(AND(K67&gt;0,K67&lt;=Podsumowanie!E$9),"tak","nie")</f>
        <v>nie</v>
      </c>
      <c r="R67" s="41"/>
      <c r="S67" s="42"/>
      <c r="T67" s="88">
        <f t="shared" si="57"/>
        <v>0</v>
      </c>
      <c r="U67" s="89">
        <f>IF(Q67="tak",T67,IF(P67-SUM(AB$5:AB67)+1&gt;0,IF(Podsumowanie!E$7&lt;B67,IF(SUM(AB$5:AB67)-Podsumowanie!E$9+1&gt;0,PMT(M67/12,P67+1-SUM(AB$5:AB67),O67),T67),0),0))</f>
        <v>0</v>
      </c>
      <c r="V67" s="89">
        <f t="shared" si="83"/>
        <v>0</v>
      </c>
      <c r="W67" s="90" t="str">
        <f>IF(R67&gt;0,R67/(C67*(1-Podsumowanie!E$11))," ")</f>
        <v xml:space="preserve"> </v>
      </c>
      <c r="X67" s="90" t="str">
        <f t="shared" si="59"/>
        <v xml:space="preserve"> </v>
      </c>
      <c r="Y67" s="91">
        <f t="shared" si="3"/>
        <v>0</v>
      </c>
      <c r="Z67" s="90">
        <f>IF(P67-SUM(AB$5:AB67)+1&gt;0,IF(Podsumowanie!E$7&lt;B67,IF(SUM(AB$5:AB67)-Podsumowanie!E$9+1&gt;0,PMT(M67/12,P67+1-SUM(AB$5:AB67),N67),Y67),0),0)</f>
        <v>0</v>
      </c>
      <c r="AA67" s="90">
        <f t="shared" si="79"/>
        <v>0</v>
      </c>
      <c r="AB67" s="8" t="str">
        <f>IF(AND(Podsumowanie!E$7&lt;B67,SUM(AB$5:AB66)&lt;P66),1," ")</f>
        <v xml:space="preserve"> </v>
      </c>
      <c r="AD67" s="10">
        <f>Podsumowanie!E$4-SUM(AF$5:AF66)+SUM(W$42:W67)-SUM(X$42:X67)</f>
        <v>181357.6981355522</v>
      </c>
      <c r="AE67" s="10">
        <f t="shared" si="61"/>
        <v>0</v>
      </c>
      <c r="AF67" s="10">
        <f t="shared" si="62"/>
        <v>0</v>
      </c>
      <c r="AG67" s="10">
        <f t="shared" si="63"/>
        <v>0</v>
      </c>
      <c r="AH67" s="10">
        <f t="shared" si="64"/>
        <v>0</v>
      </c>
      <c r="AI67" s="10">
        <f>Podsumowanie!E$2-SUM(AK$5:AK66)+SUM(R$42:R67)-SUM(S$42:S67)</f>
        <v>400000</v>
      </c>
      <c r="AJ67" s="10">
        <f t="shared" si="65"/>
        <v>0</v>
      </c>
      <c r="AK67" s="10">
        <f t="shared" si="66"/>
        <v>0</v>
      </c>
      <c r="AL67" s="10">
        <f t="shared" si="67"/>
        <v>0</v>
      </c>
      <c r="AM67" s="10">
        <f t="shared" si="68"/>
        <v>0</v>
      </c>
      <c r="AO67" s="43">
        <f t="shared" si="69"/>
        <v>39142</v>
      </c>
      <c r="AP67" s="11">
        <f>AP$5+SUM(AS$5:AS66)-SUM(X$5:X67)+SUM(W$5:W67)</f>
        <v>175916.96719148563</v>
      </c>
      <c r="AQ67" s="10">
        <f t="shared" si="70"/>
        <v>0</v>
      </c>
      <c r="AR67" s="10">
        <f>IF(AB67=1,IF(Q67="tak",AQ67,PMT(M67/12,P67+1-SUM(AB$5:AB67),AP67)),0)</f>
        <v>0</v>
      </c>
      <c r="AS67" s="10">
        <f t="shared" si="71"/>
        <v>0</v>
      </c>
      <c r="AT67" s="10">
        <f t="shared" si="72"/>
        <v>0</v>
      </c>
      <c r="AV67" s="11">
        <f>AV$5+SUM(AX$5:AX66)+SUM(W$5:W66)-SUM(X$5:X66)</f>
        <v>175916.96719148563</v>
      </c>
      <c r="AW67" s="11">
        <f t="shared" si="73"/>
        <v>0</v>
      </c>
      <c r="AX67" s="11">
        <f t="shared" si="74"/>
        <v>0</v>
      </c>
      <c r="AY67" s="11">
        <f t="shared" si="75"/>
        <v>0</v>
      </c>
      <c r="AZ67" s="11">
        <f t="shared" si="76"/>
        <v>0</v>
      </c>
      <c r="BB67" s="191">
        <f t="shared" si="4"/>
        <v>0.0422</v>
      </c>
      <c r="BC67" s="44">
        <f>BB67+Podsumowanie!$E$6</f>
        <v>0.0542</v>
      </c>
      <c r="BD67" s="11">
        <f>BD$5+SUM(BE$5:BE66)+SUM(R$5:R66)-SUM(S$5:S66)</f>
        <v>400000</v>
      </c>
      <c r="BE67" s="10">
        <f t="shared" si="80"/>
        <v>0</v>
      </c>
      <c r="BF67" s="10">
        <f t="shared" si="78"/>
        <v>0</v>
      </c>
      <c r="BG67" s="10">
        <f>IF(U67&lt;0,PMT(BC67/12,Podsumowanie!E$8-SUM(AB$5:AB67)+1,BD67),0)</f>
        <v>0</v>
      </c>
      <c r="BI67" s="11">
        <f>BI$5+SUM(BK$5:BK66)+SUM(R$5:R66)-SUM(S$5:S66)</f>
        <v>400000</v>
      </c>
      <c r="BJ67" s="11">
        <f t="shared" si="5"/>
        <v>0</v>
      </c>
      <c r="BK67" s="11">
        <f t="shared" si="6"/>
        <v>0</v>
      </c>
      <c r="BL67" s="11">
        <f t="shared" si="7"/>
        <v>0</v>
      </c>
      <c r="BN67" s="44">
        <f t="shared" si="8"/>
        <v>0.0543</v>
      </c>
      <c r="BO67" s="11">
        <f>BO$5+SUM(BP$5:BP66)+SUM(R$5:R66)-SUM(S$5:S66)+SUM(BS$5:BS66)</f>
        <v>400000</v>
      </c>
      <c r="BP67" s="10">
        <f t="shared" si="46"/>
        <v>0</v>
      </c>
      <c r="BQ67" s="10">
        <f t="shared" si="47"/>
        <v>0</v>
      </c>
      <c r="BR67" s="10">
        <f>IF(U67&lt;0,PMT(BN67/12,Podsumowanie!E$8-SUM(AB$5:AB67)+1,BO67),0)</f>
        <v>0</v>
      </c>
      <c r="BS67" s="10">
        <f t="shared" si="41"/>
        <v>0</v>
      </c>
      <c r="BU67" s="11">
        <f>BU$5+SUM(BW$5:BW66)+SUM(R$5:R66)-SUM(S$5:S66)+SUM(BY$5,BY66)</f>
        <v>400000</v>
      </c>
      <c r="BV67" s="10">
        <f t="shared" si="9"/>
        <v>0</v>
      </c>
      <c r="BW67" s="10">
        <f t="shared" si="10"/>
        <v>0</v>
      </c>
      <c r="BX67" s="10">
        <f t="shared" si="48"/>
        <v>0</v>
      </c>
      <c r="BY67" s="10">
        <f t="shared" si="49"/>
        <v>0</v>
      </c>
      <c r="CA67" s="10">
        <f>CA$5+SUM(CB$5:CB66)+SUM(R$5:R66)-SUM(S$5:S66)-SUM(CC$5:CC66)</f>
        <v>400000</v>
      </c>
      <c r="CB67" s="10">
        <f t="shared" si="42"/>
        <v>0</v>
      </c>
      <c r="CC67" s="10">
        <f t="shared" si="43"/>
        <v>0</v>
      </c>
      <c r="CD67" s="10">
        <f t="shared" si="44"/>
        <v>0</v>
      </c>
      <c r="CF67" s="44">
        <f t="shared" si="11"/>
        <v>0.7815</v>
      </c>
      <c r="CG67" s="10">
        <f t="shared" si="45"/>
        <v>0</v>
      </c>
      <c r="CH67" s="4">
        <f t="shared" si="50"/>
        <v>0</v>
      </c>
    </row>
    <row r="68" spans="1:86" ht="15.75">
      <c r="A68" s="36"/>
      <c r="B68" s="37">
        <v>39173</v>
      </c>
      <c r="C68" s="77">
        <f t="shared" si="1"/>
        <v>2.3331</v>
      </c>
      <c r="D68" s="78">
        <f>C68*(1+Podsumowanie!E$11)</f>
        <v>2.403093</v>
      </c>
      <c r="E68" s="34">
        <f t="shared" si="51"/>
        <v>0</v>
      </c>
      <c r="F68" s="7">
        <f t="shared" si="81"/>
        <v>0</v>
      </c>
      <c r="G68" s="7">
        <f t="shared" si="53"/>
        <v>0</v>
      </c>
      <c r="H68" s="7">
        <f t="shared" si="82"/>
        <v>0</v>
      </c>
      <c r="I68" s="32"/>
      <c r="J68" s="4" t="str">
        <f t="shared" si="55"/>
        <v xml:space="preserve"> </v>
      </c>
      <c r="K68" s="4">
        <f>IF(B68&lt;Podsumowanie!E$7,0,K67+1)</f>
        <v>0</v>
      </c>
      <c r="L68" s="100">
        <f t="shared" si="2"/>
        <v>0.0223</v>
      </c>
      <c r="M68" s="38">
        <f>L68+Podsumowanie!E$6</f>
        <v>0.0343</v>
      </c>
      <c r="N68" s="101">
        <f>MAX(Podsumowanie!E$4+SUM(AA$5:AA67)-SUM(X$5:X68)+SUM(W$5:W68),0)</f>
        <v>181357.6981355522</v>
      </c>
      <c r="O68" s="102">
        <f>MAX(Podsumowanie!E$2+SUM(V$5:V67)-SUM(S$5:S68)+SUM(R$5:R68),0)</f>
        <v>400000</v>
      </c>
      <c r="P68" s="39">
        <f t="shared" si="56"/>
        <v>360</v>
      </c>
      <c r="Q68" s="40" t="str">
        <f>IF(AND(K68&gt;0,K68&lt;=Podsumowanie!E$9),"tak","nie")</f>
        <v>nie</v>
      </c>
      <c r="R68" s="41"/>
      <c r="S68" s="42"/>
      <c r="T68" s="88">
        <f t="shared" si="57"/>
        <v>0</v>
      </c>
      <c r="U68" s="89">
        <f>IF(Q68="tak",T68,IF(P68-SUM(AB$5:AB68)+1&gt;0,IF(Podsumowanie!E$7&lt;B68,IF(SUM(AB$5:AB68)-Podsumowanie!E$9+1&gt;0,PMT(M68/12,P68+1-SUM(AB$5:AB68),O68),T68),0),0))</f>
        <v>0</v>
      </c>
      <c r="V68" s="89">
        <f t="shared" si="83"/>
        <v>0</v>
      </c>
      <c r="W68" s="90" t="str">
        <f>IF(R68&gt;0,R68/(C68*(1-Podsumowanie!E$11))," ")</f>
        <v xml:space="preserve"> </v>
      </c>
      <c r="X68" s="90" t="str">
        <f t="shared" si="59"/>
        <v xml:space="preserve"> </v>
      </c>
      <c r="Y68" s="91">
        <f t="shared" si="3"/>
        <v>0</v>
      </c>
      <c r="Z68" s="90">
        <f>IF(P68-SUM(AB$5:AB68)+1&gt;0,IF(Podsumowanie!E$7&lt;B68,IF(SUM(AB$5:AB68)-Podsumowanie!E$9+1&gt;0,PMT(M68/12,P68+1-SUM(AB$5:AB68),N68),Y68),0),0)</f>
        <v>0</v>
      </c>
      <c r="AA68" s="90">
        <f t="shared" si="79"/>
        <v>0</v>
      </c>
      <c r="AB68" s="8" t="str">
        <f>IF(AND(Podsumowanie!E$7&lt;B68,SUM(AB$5:AB67)&lt;P67),1," ")</f>
        <v xml:space="preserve"> </v>
      </c>
      <c r="AD68" s="10">
        <f>Podsumowanie!E$4-SUM(AF$5:AF67)+SUM(W$42:W68)-SUM(X$42:X68)</f>
        <v>181357.6981355522</v>
      </c>
      <c r="AE68" s="10">
        <f t="shared" si="61"/>
        <v>0</v>
      </c>
      <c r="AF68" s="10">
        <f t="shared" si="62"/>
        <v>0</v>
      </c>
      <c r="AG68" s="10">
        <f t="shared" si="63"/>
        <v>0</v>
      </c>
      <c r="AH68" s="10">
        <f t="shared" si="64"/>
        <v>0</v>
      </c>
      <c r="AI68" s="10">
        <f>Podsumowanie!E$2-SUM(AK$5:AK67)+SUM(R$42:R68)-SUM(S$42:S68)</f>
        <v>400000</v>
      </c>
      <c r="AJ68" s="10">
        <f t="shared" si="65"/>
        <v>0</v>
      </c>
      <c r="AK68" s="10">
        <f t="shared" si="66"/>
        <v>0</v>
      </c>
      <c r="AL68" s="10">
        <f t="shared" si="67"/>
        <v>0</v>
      </c>
      <c r="AM68" s="10">
        <f t="shared" si="68"/>
        <v>0</v>
      </c>
      <c r="AO68" s="43">
        <f t="shared" si="69"/>
        <v>39173</v>
      </c>
      <c r="AP68" s="11">
        <f>AP$5+SUM(AS$5:AS67)-SUM(X$5:X68)+SUM(W$5:W68)</f>
        <v>175916.96719148563</v>
      </c>
      <c r="AQ68" s="10">
        <f t="shared" si="70"/>
        <v>0</v>
      </c>
      <c r="AR68" s="10">
        <f>IF(AB68=1,IF(Q68="tak",AQ68,PMT(M68/12,P68+1-SUM(AB$5:AB68),AP68)),0)</f>
        <v>0</v>
      </c>
      <c r="AS68" s="10">
        <f t="shared" si="71"/>
        <v>0</v>
      </c>
      <c r="AT68" s="10">
        <f t="shared" si="72"/>
        <v>0</v>
      </c>
      <c r="AV68" s="11">
        <f>AV$5+SUM(AX$5:AX67)+SUM(W$5:W67)-SUM(X$5:X67)</f>
        <v>175916.96719148563</v>
      </c>
      <c r="AW68" s="11">
        <f t="shared" si="73"/>
        <v>0</v>
      </c>
      <c r="AX68" s="11">
        <f t="shared" si="74"/>
        <v>0</v>
      </c>
      <c r="AY68" s="11">
        <f t="shared" si="75"/>
        <v>0</v>
      </c>
      <c r="AZ68" s="11">
        <f t="shared" si="76"/>
        <v>0</v>
      </c>
      <c r="BB68" s="191">
        <f t="shared" si="4"/>
        <v>0.0432</v>
      </c>
      <c r="BC68" s="44">
        <f>BB68+Podsumowanie!$E$6</f>
        <v>0.0552</v>
      </c>
      <c r="BD68" s="11">
        <f>BD$5+SUM(BE$5:BE67)+SUM(R$5:R67)-SUM(S$5:S67)</f>
        <v>400000</v>
      </c>
      <c r="BE68" s="10">
        <f t="shared" si="80"/>
        <v>0</v>
      </c>
      <c r="BF68" s="10">
        <f t="shared" si="78"/>
        <v>0</v>
      </c>
      <c r="BG68" s="10">
        <f>IF(U68&lt;0,PMT(BC68/12,Podsumowanie!E$8-SUM(AB$5:AB68)+1,BD68),0)</f>
        <v>0</v>
      </c>
      <c r="BI68" s="11">
        <f>BI$5+SUM(BK$5:BK67)+SUM(R$5:R67)-SUM(S$5:S67)</f>
        <v>400000</v>
      </c>
      <c r="BJ68" s="11">
        <f t="shared" si="5"/>
        <v>0</v>
      </c>
      <c r="BK68" s="11">
        <f t="shared" si="6"/>
        <v>0</v>
      </c>
      <c r="BL68" s="11">
        <f t="shared" si="7"/>
        <v>0</v>
      </c>
      <c r="BN68" s="44">
        <f t="shared" si="8"/>
        <v>0.0553</v>
      </c>
      <c r="BO68" s="11">
        <f>BO$5+SUM(BP$5:BP67)+SUM(R$5:R67)-SUM(S$5:S67)+SUM(BS$5:BS67)</f>
        <v>400000</v>
      </c>
      <c r="BP68" s="10">
        <f t="shared" si="46"/>
        <v>0</v>
      </c>
      <c r="BQ68" s="10">
        <f t="shared" si="47"/>
        <v>0</v>
      </c>
      <c r="BR68" s="10">
        <f>IF(U68&lt;0,PMT(BN68/12,Podsumowanie!E$8-SUM(AB$5:AB68)+1,BO68),0)</f>
        <v>0</v>
      </c>
      <c r="BS68" s="10">
        <f t="shared" si="41"/>
        <v>0</v>
      </c>
      <c r="BU68" s="11">
        <f>BU$5+SUM(BW$5:BW67)+SUM(R$5:R67)-SUM(S$5:S67)+SUM(BY$5,BY67)</f>
        <v>400000</v>
      </c>
      <c r="BV68" s="10">
        <f t="shared" si="9"/>
        <v>0</v>
      </c>
      <c r="BW68" s="10">
        <f t="shared" si="10"/>
        <v>0</v>
      </c>
      <c r="BX68" s="10">
        <f t="shared" si="48"/>
        <v>0</v>
      </c>
      <c r="BY68" s="10">
        <f t="shared" si="49"/>
        <v>0</v>
      </c>
      <c r="CA68" s="10">
        <f>CA$5+SUM(CB$5:CB67)+SUM(R$5:R67)-SUM(S$5:S67)-SUM(CC$5:CC67)</f>
        <v>400000</v>
      </c>
      <c r="CB68" s="10">
        <f t="shared" si="42"/>
        <v>0</v>
      </c>
      <c r="CC68" s="10">
        <f t="shared" si="43"/>
        <v>0</v>
      </c>
      <c r="CD68" s="10">
        <f t="shared" si="44"/>
        <v>0</v>
      </c>
      <c r="CF68" s="44">
        <f t="shared" si="11"/>
        <v>0.7726</v>
      </c>
      <c r="CG68" s="10">
        <f t="shared" si="45"/>
        <v>0</v>
      </c>
      <c r="CH68" s="4">
        <f t="shared" si="50"/>
        <v>0</v>
      </c>
    </row>
    <row r="69" spans="1:86" ht="15.75">
      <c r="A69" s="36"/>
      <c r="B69" s="37">
        <v>39203</v>
      </c>
      <c r="C69" s="77">
        <f aca="true" t="shared" si="84" ref="C69:C132">VLOOKUP(B69,Kursy,C$2)</f>
        <v>2.2928</v>
      </c>
      <c r="D69" s="78">
        <f>C69*(1+Podsumowanie!E$11)</f>
        <v>2.361584</v>
      </c>
      <c r="E69" s="34">
        <f t="shared" si="51"/>
        <v>0</v>
      </c>
      <c r="F69" s="7">
        <f t="shared" si="81"/>
        <v>0</v>
      </c>
      <c r="G69" s="7">
        <f t="shared" si="53"/>
        <v>0</v>
      </c>
      <c r="H69" s="7">
        <f t="shared" si="82"/>
        <v>0</v>
      </c>
      <c r="I69" s="32"/>
      <c r="J69" s="4" t="str">
        <f t="shared" si="55"/>
        <v xml:space="preserve"> </v>
      </c>
      <c r="K69" s="4">
        <f>IF(B69&lt;Podsumowanie!E$7,0,K68+1)</f>
        <v>0</v>
      </c>
      <c r="L69" s="100">
        <f aca="true" t="shared" si="85" ref="L69:L132">VLOOKUP(B69,Oproc,C$2)</f>
        <v>0.0235</v>
      </c>
      <c r="M69" s="38">
        <f>L69+Podsumowanie!E$6</f>
        <v>0.035500000000000004</v>
      </c>
      <c r="N69" s="101">
        <f>MAX(Podsumowanie!E$4+SUM(AA$5:AA68)-SUM(X$5:X69)+SUM(W$5:W69),0)</f>
        <v>181357.6981355522</v>
      </c>
      <c r="O69" s="102">
        <f>MAX(Podsumowanie!E$2+SUM(V$5:V68)-SUM(S$5:S69)+SUM(R$5:R69),0)</f>
        <v>400000</v>
      </c>
      <c r="P69" s="39">
        <f t="shared" si="56"/>
        <v>360</v>
      </c>
      <c r="Q69" s="40" t="str">
        <f>IF(AND(K69&gt;0,K69&lt;=Podsumowanie!E$9),"tak","nie")</f>
        <v>nie</v>
      </c>
      <c r="R69" s="41"/>
      <c r="S69" s="42"/>
      <c r="T69" s="88">
        <f t="shared" si="57"/>
        <v>0</v>
      </c>
      <c r="U69" s="89">
        <f>IF(Q69="tak",T69,IF(P69-SUM(AB$5:AB69)+1&gt;0,IF(Podsumowanie!E$7&lt;B69,IF(SUM(AB$5:AB69)-Podsumowanie!E$9+1&gt;0,PMT(M69/12,P69+1-SUM(AB$5:AB69),O69),T69),0),0))</f>
        <v>0</v>
      </c>
      <c r="V69" s="89">
        <f t="shared" si="83"/>
        <v>0</v>
      </c>
      <c r="W69" s="90" t="str">
        <f>IF(R69&gt;0,R69/(C69*(1-Podsumowanie!E$11))," ")</f>
        <v xml:space="preserve"> </v>
      </c>
      <c r="X69" s="90" t="str">
        <f t="shared" si="59"/>
        <v xml:space="preserve"> </v>
      </c>
      <c r="Y69" s="91">
        <f t="shared" si="3"/>
        <v>0</v>
      </c>
      <c r="Z69" s="90">
        <f>IF(P69-SUM(AB$5:AB69)+1&gt;0,IF(Podsumowanie!E$7&lt;B69,IF(SUM(AB$5:AB69)-Podsumowanie!E$9+1&gt;0,PMT(M69/12,P69+1-SUM(AB$5:AB69),N69),Y69),0),0)</f>
        <v>0</v>
      </c>
      <c r="AA69" s="90">
        <f t="shared" si="79"/>
        <v>0</v>
      </c>
      <c r="AB69" s="8" t="str">
        <f>IF(AND(Podsumowanie!E$7&lt;B69,SUM(AB$5:AB68)&lt;P68),1," ")</f>
        <v xml:space="preserve"> </v>
      </c>
      <c r="AD69" s="10">
        <f>Podsumowanie!E$4-SUM(AF$5:AF68)+SUM(W$42:W69)-SUM(X$42:X69)</f>
        <v>181357.6981355522</v>
      </c>
      <c r="AE69" s="10">
        <f t="shared" si="61"/>
        <v>0</v>
      </c>
      <c r="AF69" s="10">
        <f t="shared" si="62"/>
        <v>0</v>
      </c>
      <c r="AG69" s="10">
        <f t="shared" si="63"/>
        <v>0</v>
      </c>
      <c r="AH69" s="10">
        <f t="shared" si="64"/>
        <v>0</v>
      </c>
      <c r="AI69" s="10">
        <f>Podsumowanie!E$2-SUM(AK$5:AK68)+SUM(R$42:R69)-SUM(S$42:S69)</f>
        <v>400000</v>
      </c>
      <c r="AJ69" s="10">
        <f t="shared" si="65"/>
        <v>0</v>
      </c>
      <c r="AK69" s="10">
        <f t="shared" si="66"/>
        <v>0</v>
      </c>
      <c r="AL69" s="10">
        <f t="shared" si="67"/>
        <v>0</v>
      </c>
      <c r="AM69" s="10">
        <f t="shared" si="68"/>
        <v>0</v>
      </c>
      <c r="AO69" s="43">
        <f t="shared" si="69"/>
        <v>39203</v>
      </c>
      <c r="AP69" s="11">
        <f>AP$5+SUM(AS$5:AS68)-SUM(X$5:X69)+SUM(W$5:W69)</f>
        <v>175916.96719148563</v>
      </c>
      <c r="AQ69" s="10">
        <f t="shared" si="70"/>
        <v>0</v>
      </c>
      <c r="AR69" s="10">
        <f>IF(AB69=1,IF(Q69="tak",AQ69,PMT(M69/12,P69+1-SUM(AB$5:AB69),AP69)),0)</f>
        <v>0</v>
      </c>
      <c r="AS69" s="10">
        <f t="shared" si="71"/>
        <v>0</v>
      </c>
      <c r="AT69" s="10">
        <f t="shared" si="72"/>
        <v>0</v>
      </c>
      <c r="AV69" s="11">
        <f>AV$5+SUM(AX$5:AX68)+SUM(W$5:W68)-SUM(X$5:X68)</f>
        <v>175916.96719148563</v>
      </c>
      <c r="AW69" s="11">
        <f t="shared" si="73"/>
        <v>0</v>
      </c>
      <c r="AX69" s="11">
        <f t="shared" si="74"/>
        <v>0</v>
      </c>
      <c r="AY69" s="11">
        <f t="shared" si="75"/>
        <v>0</v>
      </c>
      <c r="AZ69" s="11">
        <f t="shared" si="76"/>
        <v>0</v>
      </c>
      <c r="BB69" s="191">
        <f aca="true" t="shared" si="86" ref="BB69:BB132">VLOOKUP(B69,Oproc,5)</f>
        <v>0.0444</v>
      </c>
      <c r="BC69" s="44">
        <f>BB69+Podsumowanie!$E$6</f>
        <v>0.056400000000000006</v>
      </c>
      <c r="BD69" s="11">
        <f>BD$5+SUM(BE$5:BE68)+SUM(R$5:R68)-SUM(S$5:S68)</f>
        <v>400000</v>
      </c>
      <c r="BE69" s="10">
        <f t="shared" si="80"/>
        <v>0</v>
      </c>
      <c r="BF69" s="10">
        <f t="shared" si="78"/>
        <v>0</v>
      </c>
      <c r="BG69" s="10">
        <f>IF(U69&lt;0,PMT(BC69/12,Podsumowanie!E$8-SUM(AB$5:AB69)+1,BD69),0)</f>
        <v>0</v>
      </c>
      <c r="BI69" s="11">
        <f>BI$5+SUM(BK$5:BK68)+SUM(R$5:R68)-SUM(S$5:S68)</f>
        <v>400000</v>
      </c>
      <c r="BJ69" s="11">
        <f aca="true" t="shared" si="87" ref="BJ69:BJ119">IF(AB69=1,-BC69*BI69/12,0)</f>
        <v>0</v>
      </c>
      <c r="BK69" s="11">
        <f aca="true" t="shared" si="88" ref="BK69:BK119">IF(AB69=1,-BI69/(P69-K69+1),0)</f>
        <v>0</v>
      </c>
      <c r="BL69" s="11">
        <f aca="true" t="shared" si="89" ref="BL69:BL119">BK69+BJ69</f>
        <v>0</v>
      </c>
      <c r="BN69" s="44">
        <f aca="true" t="shared" si="90" ref="BN69:BN132">BB69+$BN$4</f>
        <v>0.0565</v>
      </c>
      <c r="BO69" s="11">
        <f>BO$5+SUM(BP$5:BP68)+SUM(R$5:R68)-SUM(S$5:S68)+SUM(BS$5:BS68)</f>
        <v>400000</v>
      </c>
      <c r="BP69" s="10">
        <f t="shared" si="46"/>
        <v>0</v>
      </c>
      <c r="BQ69" s="10">
        <f t="shared" si="47"/>
        <v>0</v>
      </c>
      <c r="BR69" s="10">
        <f>IF(U69&lt;0,PMT(BN69/12,Podsumowanie!E$8-SUM(AB$5:AB69)+1,BO69),0)</f>
        <v>0</v>
      </c>
      <c r="BS69" s="10">
        <f t="shared" si="41"/>
        <v>0</v>
      </c>
      <c r="BU69" s="11">
        <f>BU$5+SUM(BW$5:BW68)+SUM(R$5:R68)-SUM(S$5:S68)+SUM(BY$5,BY68)</f>
        <v>400000</v>
      </c>
      <c r="BV69" s="10">
        <f aca="true" t="shared" si="91" ref="BV69:BV132">IF(AB69=1,-BN69*BU69/12,0)</f>
        <v>0</v>
      </c>
      <c r="BW69" s="10">
        <f aca="true" t="shared" si="92" ref="BW69:BW132">IF(AB69=1,-BU69/(P69-K69+1),0)</f>
        <v>0</v>
      </c>
      <c r="BX69" s="10">
        <f t="shared" si="48"/>
        <v>0</v>
      </c>
      <c r="BY69" s="10">
        <f t="shared" si="49"/>
        <v>0</v>
      </c>
      <c r="CA69" s="10">
        <f>CA$5+SUM(CB$5:CB68)+SUM(R$5:R68)-SUM(S$5:S68)-SUM(CC$5:CC68)</f>
        <v>400000</v>
      </c>
      <c r="CB69" s="10">
        <f t="shared" si="42"/>
        <v>0</v>
      </c>
      <c r="CC69" s="10">
        <f t="shared" si="43"/>
        <v>0</v>
      </c>
      <c r="CD69" s="10">
        <f t="shared" si="44"/>
        <v>0</v>
      </c>
      <c r="CF69" s="44">
        <f aca="true" t="shared" si="93" ref="CF69:CF132">VLOOKUP(B69,Inflacja,2)</f>
        <v>0.7638</v>
      </c>
      <c r="CG69" s="10">
        <f t="shared" si="45"/>
        <v>0</v>
      </c>
      <c r="CH69" s="4">
        <f t="shared" si="50"/>
        <v>0</v>
      </c>
    </row>
    <row r="70" spans="1:86" ht="15.75">
      <c r="A70" s="36"/>
      <c r="B70" s="37">
        <v>39234</v>
      </c>
      <c r="C70" s="77">
        <f t="shared" si="84"/>
        <v>2.3022</v>
      </c>
      <c r="D70" s="78">
        <f>C70*(1+Podsumowanie!E$11)</f>
        <v>2.371266</v>
      </c>
      <c r="E70" s="34">
        <f t="shared" si="51"/>
        <v>0</v>
      </c>
      <c r="F70" s="7">
        <f t="shared" si="81"/>
        <v>0</v>
      </c>
      <c r="G70" s="7">
        <f t="shared" si="53"/>
        <v>0</v>
      </c>
      <c r="H70" s="7">
        <f t="shared" si="82"/>
        <v>0</v>
      </c>
      <c r="I70" s="32"/>
      <c r="J70" s="4" t="str">
        <f t="shared" si="55"/>
        <v xml:space="preserve"> </v>
      </c>
      <c r="K70" s="4">
        <f>IF(B70&lt;Podsumowanie!E$7,0,K69+1)</f>
        <v>0</v>
      </c>
      <c r="L70" s="100">
        <f t="shared" si="85"/>
        <v>0.0247</v>
      </c>
      <c r="M70" s="38">
        <f>L70+Podsumowanie!E$6</f>
        <v>0.036699999999999997</v>
      </c>
      <c r="N70" s="101">
        <f>MAX(Podsumowanie!E$4+SUM(AA$5:AA69)-SUM(X$5:X70)+SUM(W$5:W70),0)</f>
        <v>181357.6981355522</v>
      </c>
      <c r="O70" s="102">
        <f>MAX(Podsumowanie!E$2+SUM(V$5:V69)-SUM(S$5:S70)+SUM(R$5:R70),0)</f>
        <v>400000</v>
      </c>
      <c r="P70" s="39">
        <f t="shared" si="56"/>
        <v>360</v>
      </c>
      <c r="Q70" s="40" t="str">
        <f>IF(AND(K70&gt;0,K70&lt;=Podsumowanie!E$9),"tak","nie")</f>
        <v>nie</v>
      </c>
      <c r="R70" s="41"/>
      <c r="S70" s="42"/>
      <c r="T70" s="88">
        <f t="shared" si="57"/>
        <v>0</v>
      </c>
      <c r="U70" s="89">
        <f>IF(Q70="tak",T70,IF(P70-SUM(AB$5:AB70)+1&gt;0,IF(Podsumowanie!E$7&lt;B70,IF(SUM(AB$5:AB70)-Podsumowanie!E$9+1&gt;0,PMT(M70/12,P70+1-SUM(AB$5:AB70),O70),T70),0),0))</f>
        <v>0</v>
      </c>
      <c r="V70" s="89">
        <f t="shared" si="83"/>
        <v>0</v>
      </c>
      <c r="W70" s="90" t="str">
        <f>IF(R70&gt;0,R70/(C70*(1-Podsumowanie!E$11))," ")</f>
        <v xml:space="preserve"> </v>
      </c>
      <c r="X70" s="90" t="str">
        <f t="shared" si="59"/>
        <v xml:space="preserve"> </v>
      </c>
      <c r="Y70" s="91">
        <f t="shared" si="3"/>
        <v>0</v>
      </c>
      <c r="Z70" s="90">
        <f>IF(P70-SUM(AB$5:AB70)+1&gt;0,IF(Podsumowanie!E$7&lt;B70,IF(SUM(AB$5:AB70)-Podsumowanie!E$9+1&gt;0,PMT(M70/12,P70+1-SUM(AB$5:AB70),N70),Y70),0),0)</f>
        <v>0</v>
      </c>
      <c r="AA70" s="90">
        <f t="shared" si="79"/>
        <v>0</v>
      </c>
      <c r="AB70" s="8" t="str">
        <f>IF(AND(Podsumowanie!E$7&lt;B70,SUM(AB$5:AB69)&lt;P69),1," ")</f>
        <v xml:space="preserve"> </v>
      </c>
      <c r="AD70" s="10">
        <f>Podsumowanie!E$4-SUM(AF$5:AF69)+SUM(W$42:W70)-SUM(X$42:X70)</f>
        <v>181357.6981355522</v>
      </c>
      <c r="AE70" s="10">
        <f t="shared" si="61"/>
        <v>0</v>
      </c>
      <c r="AF70" s="10">
        <f t="shared" si="62"/>
        <v>0</v>
      </c>
      <c r="AG70" s="10">
        <f t="shared" si="63"/>
        <v>0</v>
      </c>
      <c r="AH70" s="10">
        <f t="shared" si="64"/>
        <v>0</v>
      </c>
      <c r="AI70" s="10">
        <f>Podsumowanie!E$2-SUM(AK$5:AK69)+SUM(R$42:R70)-SUM(S$42:S70)</f>
        <v>400000</v>
      </c>
      <c r="AJ70" s="10">
        <f t="shared" si="65"/>
        <v>0</v>
      </c>
      <c r="AK70" s="10">
        <f t="shared" si="66"/>
        <v>0</v>
      </c>
      <c r="AL70" s="10">
        <f t="shared" si="67"/>
        <v>0</v>
      </c>
      <c r="AM70" s="10">
        <f t="shared" si="68"/>
        <v>0</v>
      </c>
      <c r="AO70" s="43">
        <f t="shared" si="69"/>
        <v>39234</v>
      </c>
      <c r="AP70" s="11">
        <f>AP$5+SUM(AS$5:AS69)-SUM(X$5:X70)+SUM(W$5:W70)</f>
        <v>175916.96719148563</v>
      </c>
      <c r="AQ70" s="10">
        <f t="shared" si="70"/>
        <v>0</v>
      </c>
      <c r="AR70" s="10">
        <f>IF(AB70=1,IF(Q70="tak",AQ70,PMT(M70/12,P70+1-SUM(AB$5:AB70),AP70)),0)</f>
        <v>0</v>
      </c>
      <c r="AS70" s="10">
        <f t="shared" si="71"/>
        <v>0</v>
      </c>
      <c r="AT70" s="10">
        <f t="shared" si="72"/>
        <v>0</v>
      </c>
      <c r="AV70" s="11">
        <f>AV$5+SUM(AX$5:AX69)+SUM(W$5:W69)-SUM(X$5:X69)</f>
        <v>175916.96719148563</v>
      </c>
      <c r="AW70" s="11">
        <f t="shared" si="73"/>
        <v>0</v>
      </c>
      <c r="AX70" s="11">
        <f t="shared" si="74"/>
        <v>0</v>
      </c>
      <c r="AY70" s="11">
        <f t="shared" si="75"/>
        <v>0</v>
      </c>
      <c r="AZ70" s="11">
        <f t="shared" si="76"/>
        <v>0</v>
      </c>
      <c r="BB70" s="191">
        <f t="shared" si="86"/>
        <v>0.0452</v>
      </c>
      <c r="BC70" s="44">
        <f>BB70+Podsumowanie!$E$6</f>
        <v>0.0572</v>
      </c>
      <c r="BD70" s="11">
        <f>BD$5+SUM(BE$5:BE69)+SUM(R$5:R69)-SUM(S$5:S69)</f>
        <v>400000</v>
      </c>
      <c r="BE70" s="10">
        <f t="shared" si="80"/>
        <v>0</v>
      </c>
      <c r="BF70" s="10">
        <f t="shared" si="78"/>
        <v>0</v>
      </c>
      <c r="BG70" s="10">
        <f>IF(U70&lt;0,PMT(BC70/12,Podsumowanie!E$8-SUM(AB$5:AB70)+1,BD70),0)</f>
        <v>0</v>
      </c>
      <c r="BI70" s="11">
        <f>BI$5+SUM(BK$5:BK69)+SUM(R$5:R69)-SUM(S$5:S69)</f>
        <v>400000</v>
      </c>
      <c r="BJ70" s="11">
        <f t="shared" si="87"/>
        <v>0</v>
      </c>
      <c r="BK70" s="11">
        <f t="shared" si="88"/>
        <v>0</v>
      </c>
      <c r="BL70" s="11">
        <f t="shared" si="89"/>
        <v>0</v>
      </c>
      <c r="BN70" s="44">
        <f t="shared" si="90"/>
        <v>0.0573</v>
      </c>
      <c r="BO70" s="11">
        <f>BO$5+SUM(BP$5:BP69)+SUM(R$5:R69)-SUM(S$5:S69)+SUM(BS$5:BS69)</f>
        <v>400000</v>
      </c>
      <c r="BP70" s="10">
        <f t="shared" si="46"/>
        <v>0</v>
      </c>
      <c r="BQ70" s="10">
        <f t="shared" si="47"/>
        <v>0</v>
      </c>
      <c r="BR70" s="10">
        <f>IF(U70&lt;0,PMT(BN70/12,Podsumowanie!E$8-SUM(AB$5:AB70)+1,BO70),0)</f>
        <v>0</v>
      </c>
      <c r="BS70" s="10">
        <f aca="true" t="shared" si="94" ref="BS70:BS133">F70-BR70</f>
        <v>0</v>
      </c>
      <c r="BU70" s="11">
        <f>BU$5+SUM(BW$5:BW69)+SUM(R$5:R69)-SUM(S$5:S69)+SUM(BY$5,BY69)</f>
        <v>400000</v>
      </c>
      <c r="BV70" s="10">
        <f t="shared" si="91"/>
        <v>0</v>
      </c>
      <c r="BW70" s="10">
        <f t="shared" si="92"/>
        <v>0</v>
      </c>
      <c r="BX70" s="10">
        <f t="shared" si="48"/>
        <v>0</v>
      </c>
      <c r="BY70" s="10">
        <f t="shared" si="49"/>
        <v>0</v>
      </c>
      <c r="CA70" s="10">
        <f>CA$5+SUM(CB$5:CB69)+SUM(R$5:R69)-SUM(S$5:S69)-SUM(CC$5:CC69)</f>
        <v>400000</v>
      </c>
      <c r="CB70" s="10">
        <f aca="true" t="shared" si="95" ref="CB70:CB133">IF(AB70=1,BN70*BU70/12,0)</f>
        <v>0</v>
      </c>
      <c r="CC70" s="10">
        <f aca="true" t="shared" si="96" ref="CC70:CC133">-F70</f>
        <v>0</v>
      </c>
      <c r="CD70" s="10">
        <f aca="true" t="shared" si="97" ref="CD70:CD133">CC70-CB70</f>
        <v>0</v>
      </c>
      <c r="CF70" s="44">
        <f t="shared" si="93"/>
        <v>0.7638</v>
      </c>
      <c r="CG70" s="10">
        <f aca="true" t="shared" si="98" ref="CG70:CG133">ROUND(CF70*(F70-S70),2)</f>
        <v>0</v>
      </c>
      <c r="CH70" s="4">
        <f t="shared" si="50"/>
        <v>0</v>
      </c>
    </row>
    <row r="71" spans="1:86" ht="15.75">
      <c r="A71" s="36"/>
      <c r="B71" s="37">
        <v>39264</v>
      </c>
      <c r="C71" s="77">
        <f t="shared" si="84"/>
        <v>2.2738</v>
      </c>
      <c r="D71" s="78">
        <f>C71*(1+Podsumowanie!E$11)</f>
        <v>2.3420140000000003</v>
      </c>
      <c r="E71" s="34">
        <f t="shared" si="51"/>
        <v>0</v>
      </c>
      <c r="F71" s="7">
        <f t="shared" si="81"/>
        <v>0</v>
      </c>
      <c r="G71" s="7">
        <f t="shared" si="53"/>
        <v>0</v>
      </c>
      <c r="H71" s="7">
        <f t="shared" si="82"/>
        <v>0</v>
      </c>
      <c r="I71" s="32"/>
      <c r="J71" s="4" t="str">
        <f t="shared" si="55"/>
        <v xml:space="preserve"> </v>
      </c>
      <c r="K71" s="4">
        <f>IF(B71&lt;Podsumowanie!E$7,0,K70+1)</f>
        <v>1</v>
      </c>
      <c r="L71" s="100">
        <f t="shared" si="85"/>
        <v>0.027</v>
      </c>
      <c r="M71" s="38">
        <f>L71+Podsumowanie!E$6</f>
        <v>0.039</v>
      </c>
      <c r="N71" s="101">
        <f>MAX(Podsumowanie!E$4+SUM(AA$5:AA70)-SUM(X$5:X71)+SUM(W$5:W71),0)</f>
        <v>181357.6981355522</v>
      </c>
      <c r="O71" s="102">
        <f>MAX(Podsumowanie!E$2+SUM(V$5:V70)-SUM(S$5:S71)+SUM(R$5:R71),0)</f>
        <v>400000</v>
      </c>
      <c r="P71" s="39">
        <f t="shared" si="56"/>
        <v>360</v>
      </c>
      <c r="Q71" s="40" t="str">
        <f>IF(AND(K71&gt;0,K71&lt;=Podsumowanie!E$9),"tak","nie")</f>
        <v>nie</v>
      </c>
      <c r="R71" s="41"/>
      <c r="S71" s="42"/>
      <c r="T71" s="88">
        <f t="shared" si="57"/>
        <v>0</v>
      </c>
      <c r="U71" s="89">
        <f>IF(Q71="tak",T71,IF(P71-SUM(AB$5:AB71)+1&gt;0,IF(Podsumowanie!E$7&lt;B71,IF(SUM(AB$5:AB71)-Podsumowanie!E$9+1&gt;0,PMT(M71/12,P71+1-SUM(AB$5:AB71),O71),T71),0),0))</f>
        <v>0</v>
      </c>
      <c r="V71" s="89">
        <f t="shared" si="83"/>
        <v>0</v>
      </c>
      <c r="W71" s="90" t="str">
        <f>IF(R71&gt;0,R71/(C71*(1-Podsumowanie!E$11))," ")</f>
        <v xml:space="preserve"> </v>
      </c>
      <c r="X71" s="90" t="str">
        <f t="shared" si="59"/>
        <v xml:space="preserve"> </v>
      </c>
      <c r="Y71" s="91">
        <f t="shared" si="3"/>
        <v>0</v>
      </c>
      <c r="Z71" s="90">
        <f>IF(P71-SUM(AB$5:AB71)+1&gt;0,IF(Podsumowanie!E$7&lt;B71,IF(SUM(AB$5:AB71)-Podsumowanie!E$9+1&gt;0,PMT(M71/12,P71+1-SUM(AB$5:AB71),N71),Y71),0),0)</f>
        <v>0</v>
      </c>
      <c r="AA71" s="90">
        <f t="shared" si="79"/>
        <v>0</v>
      </c>
      <c r="AB71" s="8" t="str">
        <f>IF(AND(Podsumowanie!E$7&lt;B71,SUM(AB$5:AB70)&lt;P70),1," ")</f>
        <v xml:space="preserve"> </v>
      </c>
      <c r="AD71" s="10">
        <f>Podsumowanie!E$4-SUM(AF$5:AF70)+SUM(W$42:W71)-SUM(X$42:X71)</f>
        <v>181357.6981355522</v>
      </c>
      <c r="AE71" s="10">
        <f t="shared" si="61"/>
        <v>0</v>
      </c>
      <c r="AF71" s="10">
        <f t="shared" si="62"/>
        <v>0</v>
      </c>
      <c r="AG71" s="10">
        <f t="shared" si="63"/>
        <v>0</v>
      </c>
      <c r="AH71" s="10">
        <f t="shared" si="64"/>
        <v>0</v>
      </c>
      <c r="AI71" s="10">
        <f>Podsumowanie!E$2-SUM(AK$5:AK70)+SUM(R$42:R71)-SUM(S$42:S71)</f>
        <v>400000</v>
      </c>
      <c r="AJ71" s="10">
        <f t="shared" si="65"/>
        <v>0</v>
      </c>
      <c r="AK71" s="10">
        <f t="shared" si="66"/>
        <v>0</v>
      </c>
      <c r="AL71" s="10">
        <f t="shared" si="67"/>
        <v>0</v>
      </c>
      <c r="AM71" s="10">
        <f t="shared" si="68"/>
        <v>0</v>
      </c>
      <c r="AO71" s="43">
        <f t="shared" si="69"/>
        <v>39264</v>
      </c>
      <c r="AP71" s="11">
        <f>AP$5+SUM(AS$5:AS70)-SUM(X$5:X71)+SUM(W$5:W71)</f>
        <v>175916.96719148563</v>
      </c>
      <c r="AQ71" s="10">
        <f t="shared" si="70"/>
        <v>0</v>
      </c>
      <c r="AR71" s="10">
        <f>IF(AB71=1,IF(Q71="tak",AQ71,PMT(M71/12,P71+1-SUM(AB$5:AB71),AP71)),0)</f>
        <v>0</v>
      </c>
      <c r="AS71" s="10">
        <f t="shared" si="71"/>
        <v>0</v>
      </c>
      <c r="AT71" s="10">
        <f t="shared" si="72"/>
        <v>0</v>
      </c>
      <c r="AV71" s="11">
        <f>AV$5+SUM(AX$5:AX70)+SUM(W$5:W70)-SUM(X$5:X70)</f>
        <v>175916.96719148563</v>
      </c>
      <c r="AW71" s="11">
        <f t="shared" si="73"/>
        <v>0</v>
      </c>
      <c r="AX71" s="11">
        <f t="shared" si="74"/>
        <v>0</v>
      </c>
      <c r="AY71" s="11">
        <f t="shared" si="75"/>
        <v>0</v>
      </c>
      <c r="AZ71" s="11">
        <f t="shared" si="76"/>
        <v>0</v>
      </c>
      <c r="BB71" s="191">
        <f t="shared" si="86"/>
        <v>0.0478</v>
      </c>
      <c r="BC71" s="44">
        <f>BB71+Podsumowanie!$E$6</f>
        <v>0.059800000000000006</v>
      </c>
      <c r="BD71" s="11">
        <f>BD$5+SUM(BE$5:BE70)+SUM(R$5:R70)-SUM(S$5:S70)</f>
        <v>400000</v>
      </c>
      <c r="BE71" s="10">
        <f t="shared" si="80"/>
        <v>0</v>
      </c>
      <c r="BF71" s="10">
        <f t="shared" si="78"/>
        <v>0</v>
      </c>
      <c r="BG71" s="10">
        <f>IF(U71&lt;0,PMT(BC71/12,Podsumowanie!E$8-SUM(AB$5:AB71)+1,BD71),0)</f>
        <v>0</v>
      </c>
      <c r="BI71" s="11">
        <f>BI$5+SUM(BK$5:BK70)+SUM(R$5:R70)-SUM(S$5:S70)</f>
        <v>400000</v>
      </c>
      <c r="BJ71" s="11">
        <f t="shared" si="87"/>
        <v>0</v>
      </c>
      <c r="BK71" s="11">
        <f t="shared" si="88"/>
        <v>0</v>
      </c>
      <c r="BL71" s="11">
        <f t="shared" si="89"/>
        <v>0</v>
      </c>
      <c r="BN71" s="44">
        <f t="shared" si="90"/>
        <v>0.0599</v>
      </c>
      <c r="BO71" s="11">
        <f>BO$5+SUM(BP$5:BP70)+SUM(R$5:R70)-SUM(S$5:S70)+SUM(BS$5:BS70)</f>
        <v>400000</v>
      </c>
      <c r="BP71" s="10">
        <f aca="true" t="shared" si="99" ref="BP71:BP134">IF(BR71&lt;0,BR71-BQ71,0)</f>
        <v>0</v>
      </c>
      <c r="BQ71" s="10">
        <f aca="true" t="shared" si="100" ref="BQ71:BQ134">IF(BR71&lt;0,-BO71*BN71/12,0)</f>
        <v>0</v>
      </c>
      <c r="BR71" s="10">
        <f>IF(U71&lt;0,PMT(BN71/12,Podsumowanie!E$8-SUM(AB$5:AB71)+1,BO71),0)</f>
        <v>0</v>
      </c>
      <c r="BS71" s="10">
        <f t="shared" si="94"/>
        <v>0</v>
      </c>
      <c r="BU71" s="11">
        <f>BU$5+SUM(BW$5:BW70)+SUM(R$5:R70)-SUM(S$5:S70)+SUM(BY$5,BY70)</f>
        <v>400000</v>
      </c>
      <c r="BV71" s="10">
        <f t="shared" si="91"/>
        <v>0</v>
      </c>
      <c r="BW71" s="10">
        <f t="shared" si="92"/>
        <v>0</v>
      </c>
      <c r="BX71" s="10">
        <f aca="true" t="shared" si="101" ref="BX71:BX134">BW71+BV71</f>
        <v>0</v>
      </c>
      <c r="BY71" s="10">
        <f aca="true" t="shared" si="102" ref="BY71:BY134">$F71-BX71</f>
        <v>0</v>
      </c>
      <c r="CA71" s="10">
        <f>CA$5+SUM(CB$5:CB70)+SUM(R$5:R70)-SUM(S$5:S70)-SUM(CC$5:CC70)</f>
        <v>400000</v>
      </c>
      <c r="CB71" s="10">
        <f t="shared" si="95"/>
        <v>0</v>
      </c>
      <c r="CC71" s="10">
        <f t="shared" si="96"/>
        <v>0</v>
      </c>
      <c r="CD71" s="10">
        <f t="shared" si="97"/>
        <v>0</v>
      </c>
      <c r="CF71" s="44">
        <f t="shared" si="93"/>
        <v>0.7691</v>
      </c>
      <c r="CG71" s="10">
        <f t="shared" si="98"/>
        <v>0</v>
      </c>
      <c r="CH71" s="4">
        <f aca="true" t="shared" si="103" ref="CH71:CH134">ROUND(R71*CF71,2)</f>
        <v>0</v>
      </c>
    </row>
    <row r="72" spans="1:86" ht="15.75">
      <c r="A72" s="36"/>
      <c r="B72" s="37">
        <v>39295</v>
      </c>
      <c r="C72" s="77">
        <f t="shared" si="84"/>
        <v>2.3268</v>
      </c>
      <c r="D72" s="78">
        <f>C72*(1+Podsumowanie!E$11)</f>
        <v>2.396604</v>
      </c>
      <c r="E72" s="34">
        <f t="shared" si="51"/>
        <v>-855.4065981522904</v>
      </c>
      <c r="F72" s="7">
        <f t="shared" si="81"/>
        <v>-2050.0708747581716</v>
      </c>
      <c r="G72" s="7">
        <f t="shared" si="53"/>
        <v>-1886.6728171923173</v>
      </c>
      <c r="H72" s="7">
        <f t="shared" si="82"/>
        <v>163.3980575658543</v>
      </c>
      <c r="I72" s="32"/>
      <c r="J72" s="4" t="str">
        <f t="shared" si="55"/>
        <v xml:space="preserve"> </v>
      </c>
      <c r="K72" s="4">
        <f>IF(B72&lt;Podsumowanie!E$7,0,K71+1)</f>
        <v>2</v>
      </c>
      <c r="L72" s="100">
        <f t="shared" si="85"/>
        <v>0.027</v>
      </c>
      <c r="M72" s="38">
        <f>L72+Podsumowanie!E$6</f>
        <v>0.039</v>
      </c>
      <c r="N72" s="101">
        <f>MAX(Podsumowanie!E$4+SUM(AA$5:AA71)-SUM(X$5:X72)+SUM(W$5:W72),0)</f>
        <v>181357.6981355522</v>
      </c>
      <c r="O72" s="102">
        <f>MAX(Podsumowanie!E$2+SUM(V$5:V71)-SUM(S$5:S72)+SUM(R$5:R72),0)</f>
        <v>400000</v>
      </c>
      <c r="P72" s="39">
        <f t="shared" si="56"/>
        <v>360</v>
      </c>
      <c r="Q72" s="40" t="str">
        <f>IF(AND(K72&gt;0,K72&lt;=Podsumowanie!E$9),"tak","nie")</f>
        <v>nie</v>
      </c>
      <c r="R72" s="41"/>
      <c r="S72" s="42"/>
      <c r="T72" s="88">
        <f t="shared" si="57"/>
        <v>-1300</v>
      </c>
      <c r="U72" s="89">
        <f>IF(Q72="tak",T72,IF(P72-SUM(AB$5:AB72)+1&gt;0,IF(Podsumowanie!E$7&lt;B72,IF(SUM(AB$5:AB72)-Podsumowanie!E$9+1&gt;0,PMT(M72/12,P72+1-SUM(AB$5:AB72),O72),T72),0),0))</f>
        <v>-1886.6728171923173</v>
      </c>
      <c r="V72" s="89">
        <f t="shared" si="83"/>
        <v>-586.6728171923173</v>
      </c>
      <c r="W72" s="90" t="str">
        <f>IF(R72&gt;0,R72/(C72*(1-Podsumowanie!E$11))," ")</f>
        <v xml:space="preserve"> </v>
      </c>
      <c r="X72" s="90" t="str">
        <f t="shared" si="59"/>
        <v xml:space="preserve"> </v>
      </c>
      <c r="Y72" s="91">
        <f t="shared" si="3"/>
        <v>-589.4125189405446</v>
      </c>
      <c r="Z72" s="90">
        <f>IF(P72-SUM(AB$5:AB72)+1&gt;0,IF(Podsumowanie!E$7&lt;B72,IF(SUM(AB$5:AB72)-Podsumowanie!E$9+1&gt;0,PMT(M72/12,P72+1-SUM(AB$5:AB72),N72),Y72),0),0)</f>
        <v>-855.4065981522904</v>
      </c>
      <c r="AA72" s="90">
        <f t="shared" si="79"/>
        <v>-265.99407921174577</v>
      </c>
      <c r="AB72" s="8">
        <f>IF(AND(Podsumowanie!E$7&lt;B72,SUM(AB$5:AB71)&lt;P71),1," ")</f>
        <v>1</v>
      </c>
      <c r="AD72" s="10">
        <f>Podsumowanie!E$4-SUM(AF$5:AF71)+SUM(W$42:W72)-SUM(X$42:X72)</f>
        <v>181357.6981355522</v>
      </c>
      <c r="AE72" s="10">
        <f t="shared" si="61"/>
        <v>589.41</v>
      </c>
      <c r="AF72" s="10">
        <f t="shared" si="62"/>
        <v>505.17</v>
      </c>
      <c r="AG72" s="10">
        <f t="shared" si="63"/>
        <v>1094.58</v>
      </c>
      <c r="AH72" s="10">
        <f t="shared" si="64"/>
        <v>2623.27</v>
      </c>
      <c r="AI72" s="10">
        <f>Podsumowanie!E$2-SUM(AK$5:AK71)+SUM(R$42:R72)-SUM(S$42:S72)</f>
        <v>400000</v>
      </c>
      <c r="AJ72" s="10">
        <f t="shared" si="65"/>
        <v>1300</v>
      </c>
      <c r="AK72" s="10">
        <f t="shared" si="66"/>
        <v>1114.21</v>
      </c>
      <c r="AL72" s="10">
        <f t="shared" si="67"/>
        <v>2414.21</v>
      </c>
      <c r="AM72" s="10">
        <f t="shared" si="68"/>
        <v>209.05999999999995</v>
      </c>
      <c r="AO72" s="43">
        <f t="shared" si="69"/>
        <v>39295</v>
      </c>
      <c r="AP72" s="11">
        <f>AP$5+SUM(AS$5:AS71)-SUM(X$5:X72)+SUM(W$5:W72)</f>
        <v>175916.96719148563</v>
      </c>
      <c r="AQ72" s="10">
        <f t="shared" si="70"/>
        <v>-571.7301433723284</v>
      </c>
      <c r="AR72" s="10">
        <f>IF(AB72=1,IF(Q72="tak",AQ72,PMT(M72/12,P72+1-SUM(AB$5:AB72),AP72)),0)</f>
        <v>-829.7444002077217</v>
      </c>
      <c r="AS72" s="10">
        <f t="shared" si="71"/>
        <v>-258.0142568353933</v>
      </c>
      <c r="AT72" s="10">
        <f t="shared" si="72"/>
        <v>-1930.649270403327</v>
      </c>
      <c r="AV72" s="11">
        <f>AV$5+SUM(AX$5:AX71)+SUM(W$5:W71)-SUM(X$5:X71)</f>
        <v>175916.96719148563</v>
      </c>
      <c r="AW72" s="11">
        <f t="shared" si="73"/>
        <v>-571.7301433723284</v>
      </c>
      <c r="AX72" s="11">
        <f t="shared" si="74"/>
        <v>-490.02</v>
      </c>
      <c r="AY72" s="11">
        <f t="shared" si="75"/>
        <v>-1061.7501433723282</v>
      </c>
      <c r="AZ72" s="11">
        <f t="shared" si="76"/>
        <v>-2470.4802335987333</v>
      </c>
      <c r="BB72" s="191">
        <f t="shared" si="86"/>
        <v>0.0491</v>
      </c>
      <c r="BC72" s="44">
        <f>BB72+Podsumowanie!$E$6</f>
        <v>0.0611</v>
      </c>
      <c r="BD72" s="11">
        <f>BD$5+SUM(BE$5:BE71)+SUM(R$5:R71)-SUM(S$5:S71)</f>
        <v>400000</v>
      </c>
      <c r="BE72" s="10">
        <f t="shared" si="80"/>
        <v>-389.8967851118193</v>
      </c>
      <c r="BF72" s="10">
        <f t="shared" si="78"/>
        <v>-2036.6666666666667</v>
      </c>
      <c r="BG72" s="10">
        <f>IF(U72&lt;0,PMT(BC72/12,Podsumowanie!E$8-SUM(AB$5:AB72)+1,BD72),0)</f>
        <v>-2426.563451778486</v>
      </c>
      <c r="BI72" s="11">
        <f>BI$5+SUM(BK$5:BK71)+SUM(R$5:R71)-SUM(S$5:S71)</f>
        <v>400000</v>
      </c>
      <c r="BJ72" s="11">
        <f t="shared" si="87"/>
        <v>-2036.6666666666667</v>
      </c>
      <c r="BK72" s="11">
        <f t="shared" si="88"/>
        <v>-1114.2061281337046</v>
      </c>
      <c r="BL72" s="11">
        <f t="shared" si="89"/>
        <v>-3150.8727948003716</v>
      </c>
      <c r="BN72" s="44">
        <f t="shared" si="90"/>
        <v>0.0612</v>
      </c>
      <c r="BO72" s="11">
        <f>BO$5+SUM(BP$5:BP71)+SUM(R$5:R71)-SUM(S$5:S71)+SUM(BS$5:BS71)</f>
        <v>400000</v>
      </c>
      <c r="BP72" s="10">
        <f t="shared" si="99"/>
        <v>-389.1489573954136</v>
      </c>
      <c r="BQ72" s="10">
        <f t="shared" si="100"/>
        <v>-2040</v>
      </c>
      <c r="BR72" s="10">
        <f>IF(U72&lt;0,PMT(BN72/12,Podsumowanie!E$8-SUM(AB$5:AB72)+1,BO72),0)</f>
        <v>-2429.1489573954136</v>
      </c>
      <c r="BS72" s="10">
        <f t="shared" si="94"/>
        <v>379.078082637242</v>
      </c>
      <c r="BU72" s="11">
        <f>BU$5+SUM(BW$5:BW71)+SUM(R$5:R71)-SUM(S$5:S71)+SUM(BY$5,BY71)</f>
        <v>400000</v>
      </c>
      <c r="BV72" s="10">
        <f t="shared" si="91"/>
        <v>-2040</v>
      </c>
      <c r="BW72" s="10">
        <f t="shared" si="92"/>
        <v>-1114.2061281337046</v>
      </c>
      <c r="BX72" s="10">
        <f t="shared" si="101"/>
        <v>-3154.2061281337046</v>
      </c>
      <c r="BY72" s="10">
        <f t="shared" si="102"/>
        <v>1104.135253375533</v>
      </c>
      <c r="CA72" s="10">
        <f>CA$5+SUM(CB$5:CB71)+SUM(R$5:R71)-SUM(S$5:S71)-SUM(CC$5:CC71)</f>
        <v>400000</v>
      </c>
      <c r="CB72" s="10">
        <f t="shared" si="95"/>
        <v>2040</v>
      </c>
      <c r="CC72" s="10">
        <f t="shared" si="96"/>
        <v>2050.0708747581716</v>
      </c>
      <c r="CD72" s="10">
        <f t="shared" si="97"/>
        <v>10.070874758171612</v>
      </c>
      <c r="CF72" s="44">
        <f t="shared" si="93"/>
        <v>0.7762</v>
      </c>
      <c r="CG72" s="10">
        <f t="shared" si="98"/>
        <v>-1591.27</v>
      </c>
      <c r="CH72" s="4">
        <f t="shared" si="103"/>
        <v>0</v>
      </c>
    </row>
    <row r="73" spans="1:86" ht="15.75">
      <c r="A73" s="36"/>
      <c r="B73" s="37">
        <v>39326</v>
      </c>
      <c r="C73" s="77">
        <f t="shared" si="84"/>
        <v>2.2995</v>
      </c>
      <c r="D73" s="78">
        <f>C73*(1+Podsumowanie!E$11)</f>
        <v>2.368485</v>
      </c>
      <c r="E73" s="34">
        <f t="shared" si="51"/>
        <v>-876.2723674190831</v>
      </c>
      <c r="F73" s="7">
        <f t="shared" si="81"/>
        <v>-2075.4379581465873</v>
      </c>
      <c r="G73" s="7">
        <f t="shared" si="53"/>
        <v>-1932.6940657663858</v>
      </c>
      <c r="H73" s="7">
        <f t="shared" si="82"/>
        <v>142.7438923802015</v>
      </c>
      <c r="I73" s="32"/>
      <c r="J73" s="4" t="str">
        <f aca="true" t="shared" si="104" ref="J73:J104">IF(H73&lt;0,"Ze względu na spadek kursu CHF, rata jest korzystniejsza niż bez klauzuli indeksacyjnej"," ")</f>
        <v xml:space="preserve"> </v>
      </c>
      <c r="K73" s="4">
        <f>IF(B73&lt;Podsumowanie!E$7,0,K72+1)</f>
        <v>3</v>
      </c>
      <c r="L73" s="100">
        <f t="shared" si="85"/>
        <v>0.029</v>
      </c>
      <c r="M73" s="38">
        <f>L73+Podsumowanie!E$6</f>
        <v>0.041</v>
      </c>
      <c r="N73" s="101">
        <f>MAX(Podsumowanie!E$4+SUM(AA$5:AA72)-SUM(X$5:X73)+SUM(W$5:W73),0)</f>
        <v>181091.70405634044</v>
      </c>
      <c r="O73" s="102">
        <f>MAX(Podsumowanie!E$2+SUM(V$5:V72)-SUM(S$5:S73)+SUM(R$5:R73),0)</f>
        <v>399413.32718280767</v>
      </c>
      <c r="P73" s="39">
        <f t="shared" si="56"/>
        <v>360</v>
      </c>
      <c r="Q73" s="40" t="str">
        <f>IF(AND(K73&gt;0,K73&lt;=Podsumowanie!E$9),"tak","nie")</f>
        <v>nie</v>
      </c>
      <c r="R73" s="41"/>
      <c r="S73" s="42"/>
      <c r="T73" s="88">
        <f t="shared" si="57"/>
        <v>-1364.6622012079263</v>
      </c>
      <c r="U73" s="89">
        <f>IF(Q73="tak",T73,IF(P73-SUM(AB$5:AB73)+1&gt;0,IF(Podsumowanie!E$7&lt;B73,IF(SUM(AB$5:AB73)-Podsumowanie!E$9+1&gt;0,PMT(M73/12,P73+1-SUM(AB$5:AB73),O73),T73),0),0))</f>
        <v>-1932.6940657663858</v>
      </c>
      <c r="V73" s="89">
        <f t="shared" si="83"/>
        <v>-568.0318645584596</v>
      </c>
      <c r="W73" s="90" t="str">
        <f>IF(R73&gt;0,R73/(C73*(1-Podsumowanie!E$11))," ")</f>
        <v xml:space="preserve"> </v>
      </c>
      <c r="X73" s="90" t="str">
        <f aca="true" t="shared" si="105" ref="X73:X104">IF(S73&gt;0,S73/D73," ")</f>
        <v xml:space="preserve"> </v>
      </c>
      <c r="Y73" s="91">
        <f t="shared" si="3"/>
        <v>-618.7299888591632</v>
      </c>
      <c r="Z73" s="90">
        <f>IF(P73-SUM(AB$5:AB73)+1&gt;0,IF(Podsumowanie!E$7&lt;B73,IF(SUM(AB$5:AB73)-Podsumowanie!E$9+1&gt;0,PMT(M73/12,P73+1-SUM(AB$5:AB73),N73),Y73),0),0)</f>
        <v>-876.2723674190831</v>
      </c>
      <c r="AA73" s="90">
        <f t="shared" si="79"/>
        <v>-257.54237855991994</v>
      </c>
      <c r="AB73" s="8">
        <f>IF(AND(Podsumowanie!E$7&lt;B73,SUM(AB$5:AB72)&lt;P72),1," ")</f>
        <v>1</v>
      </c>
      <c r="AD73" s="10">
        <f>Podsumowanie!E$4-SUM(AF$5:AF72)+SUM(W$42:W73)-SUM(X$42:X73)</f>
        <v>180852.5281355522</v>
      </c>
      <c r="AE73" s="10">
        <f t="shared" si="61"/>
        <v>617.91</v>
      </c>
      <c r="AF73" s="10">
        <f t="shared" si="62"/>
        <v>505.17</v>
      </c>
      <c r="AG73" s="10">
        <f t="shared" si="63"/>
        <v>1123.08</v>
      </c>
      <c r="AH73" s="10">
        <f aca="true" t="shared" si="106" ref="AH73:AH104">ROUND(AG73*D73,2)</f>
        <v>2660</v>
      </c>
      <c r="AI73" s="10">
        <f>Podsumowanie!E$2-SUM(AK$5:AK72)+SUM(R$42:R73)-SUM(S$42:S73)</f>
        <v>398885.79</v>
      </c>
      <c r="AJ73" s="10">
        <f t="shared" si="65"/>
        <v>1362.86</v>
      </c>
      <c r="AK73" s="10">
        <f t="shared" si="66"/>
        <v>1114.21</v>
      </c>
      <c r="AL73" s="10">
        <f t="shared" si="67"/>
        <v>2477.0699999999997</v>
      </c>
      <c r="AM73" s="10">
        <f t="shared" si="68"/>
        <v>182.9300000000003</v>
      </c>
      <c r="AO73" s="43">
        <f aca="true" t="shared" si="107" ref="AO73:AO104">B73</f>
        <v>39326</v>
      </c>
      <c r="AP73" s="11">
        <f>AP$5+SUM(AS$5:AS72)-SUM(X$5:X73)+SUM(W$5:W73)</f>
        <v>175658.95293465024</v>
      </c>
      <c r="AQ73" s="10">
        <f t="shared" si="70"/>
        <v>-600.1680891933884</v>
      </c>
      <c r="AR73" s="10">
        <f>IF(AB73=1,IF(Q73="tak",AQ73,PMT(M73/12,P73+1-SUM(AB$5:AB73),AP73)),0)</f>
        <v>-849.9841963965107</v>
      </c>
      <c r="AS73" s="10">
        <f t="shared" si="71"/>
        <v>-249.81610720312233</v>
      </c>
      <c r="AT73" s="10">
        <f t="shared" si="72"/>
        <v>-1954.5386596137764</v>
      </c>
      <c r="AV73" s="11">
        <f>AV$5+SUM(AX$5:AX72)+SUM(W$5:W72)-SUM(X$5:X72)</f>
        <v>175426.94719148564</v>
      </c>
      <c r="AW73" s="11">
        <f t="shared" si="73"/>
        <v>-600.1680891933884</v>
      </c>
      <c r="AX73" s="11">
        <f t="shared" si="74"/>
        <v>-490.02</v>
      </c>
      <c r="AY73" s="11">
        <f t="shared" si="75"/>
        <v>-1090.1880891933884</v>
      </c>
      <c r="AZ73" s="11">
        <f aca="true" t="shared" si="108" ref="AZ73:AZ104">AY73*C73</f>
        <v>-2506.8875111001967</v>
      </c>
      <c r="BB73" s="191">
        <f t="shared" si="86"/>
        <v>0.0509</v>
      </c>
      <c r="BC73" s="44">
        <f>BB73+Podsumowanie!$E$6</f>
        <v>0.0629</v>
      </c>
      <c r="BD73" s="11">
        <f>BD$5+SUM(BE$5:BE72)+SUM(R$5:R72)-SUM(S$5:S72)</f>
        <v>399610.1032148882</v>
      </c>
      <c r="BE73" s="10">
        <f t="shared" si="80"/>
        <v>-378.5791943588515</v>
      </c>
      <c r="BF73" s="10">
        <f t="shared" si="78"/>
        <v>-2094.6229576847054</v>
      </c>
      <c r="BG73" s="10">
        <f>IF(U73&lt;0,PMT(BC73/12,Podsumowanie!E$8-SUM(AB$5:AB73)+1,BD73),0)</f>
        <v>-2473.202152043557</v>
      </c>
      <c r="BI73" s="11">
        <f>BI$5+SUM(BK$5:BK72)+SUM(R$5:R72)-SUM(S$5:S72)</f>
        <v>398885.7938718663</v>
      </c>
      <c r="BJ73" s="11">
        <f t="shared" si="87"/>
        <v>-2090.826369545033</v>
      </c>
      <c r="BK73" s="11">
        <f t="shared" si="88"/>
        <v>-1114.2061281337049</v>
      </c>
      <c r="BL73" s="11">
        <f t="shared" si="89"/>
        <v>-3205.032497678738</v>
      </c>
      <c r="BN73" s="44">
        <f t="shared" si="90"/>
        <v>0.063</v>
      </c>
      <c r="BO73" s="11">
        <f>BO$5+SUM(BP$5:BP72)+SUM(R$5:R72)-SUM(S$5:S72)+SUM(BS$5:BS72)</f>
        <v>399989.9291252418</v>
      </c>
      <c r="BP73" s="10">
        <f t="shared" si="99"/>
        <v>-378.21048780834917</v>
      </c>
      <c r="BQ73" s="10">
        <f t="shared" si="100"/>
        <v>-2099.9471279075196</v>
      </c>
      <c r="BR73" s="10">
        <f>IF(U73&lt;0,PMT(BN73/12,Podsumowanie!E$8-SUM(AB$5:AB73)+1,BO73),0)</f>
        <v>-2478.157615715869</v>
      </c>
      <c r="BS73" s="10">
        <f t="shared" si="94"/>
        <v>402.7196575692815</v>
      </c>
      <c r="BU73" s="11">
        <f>BU$5+SUM(BW$5:BW72)+SUM(R$5:R72)-SUM(S$5:S72)+SUM(BY$5,BY72)</f>
        <v>399989.9291252418</v>
      </c>
      <c r="BV73" s="10">
        <f t="shared" si="91"/>
        <v>-2099.9471279075196</v>
      </c>
      <c r="BW73" s="10">
        <f t="shared" si="92"/>
        <v>-1117.2903048191113</v>
      </c>
      <c r="BX73" s="10">
        <f t="shared" si="101"/>
        <v>-3217.2374327266307</v>
      </c>
      <c r="BY73" s="10">
        <f t="shared" si="102"/>
        <v>1141.7994745800434</v>
      </c>
      <c r="CA73" s="10">
        <f>CA$5+SUM(CB$5:CB72)+SUM(R$5:R72)-SUM(S$5:S72)-SUM(CC$5:CC72)</f>
        <v>399989.9291252418</v>
      </c>
      <c r="CB73" s="10">
        <f t="shared" si="95"/>
        <v>2099.9471279075196</v>
      </c>
      <c r="CC73" s="10">
        <f t="shared" si="96"/>
        <v>2075.4379581465873</v>
      </c>
      <c r="CD73" s="10">
        <f t="shared" si="97"/>
        <v>-24.50916976093231</v>
      </c>
      <c r="CF73" s="44">
        <f t="shared" si="93"/>
        <v>0.7621</v>
      </c>
      <c r="CG73" s="10">
        <f t="shared" si="98"/>
        <v>-1581.69</v>
      </c>
      <c r="CH73" s="4">
        <f t="shared" si="103"/>
        <v>0</v>
      </c>
    </row>
    <row r="74" spans="1:86" ht="15.75">
      <c r="A74" s="36"/>
      <c r="B74" s="37">
        <v>39356</v>
      </c>
      <c r="C74" s="77">
        <f t="shared" si="84"/>
        <v>2.2177</v>
      </c>
      <c r="D74" s="78">
        <f>C74*(1+Podsumowanie!E$11)</f>
        <v>2.2842309999999997</v>
      </c>
      <c r="E74" s="34">
        <f t="shared" si="51"/>
        <v>-863.7482246024741</v>
      </c>
      <c r="F74" s="7">
        <f t="shared" si="81"/>
        <v>-1973.0004708319339</v>
      </c>
      <c r="G74" s="7">
        <f t="shared" si="53"/>
        <v>-1905.0709917080721</v>
      </c>
      <c r="H74" s="7">
        <f t="shared" si="82"/>
        <v>67.92947912386171</v>
      </c>
      <c r="I74" s="32"/>
      <c r="J74" s="4" t="str">
        <f t="shared" si="104"/>
        <v xml:space="preserve"> </v>
      </c>
      <c r="K74" s="4">
        <f>IF(B74&lt;Podsumowanie!E$7,0,K73+1)</f>
        <v>4</v>
      </c>
      <c r="L74" s="100">
        <f t="shared" si="85"/>
        <v>0.0278</v>
      </c>
      <c r="M74" s="38">
        <f>L74+Podsumowanie!E$6</f>
        <v>0.0398</v>
      </c>
      <c r="N74" s="101">
        <f>MAX(Podsumowanie!E$4+SUM(AA$5:AA73)-SUM(X$5:X74)+SUM(W$5:W74),0)</f>
        <v>180834.16167778053</v>
      </c>
      <c r="O74" s="102">
        <f>MAX(Podsumowanie!E$2+SUM(V$5:V73)-SUM(S$5:S74)+SUM(R$5:R74),0)</f>
        <v>398845.2953182492</v>
      </c>
      <c r="P74" s="39">
        <f t="shared" si="56"/>
        <v>360</v>
      </c>
      <c r="Q74" s="40" t="str">
        <f>IF(AND(K74&gt;0,K74&lt;=Podsumowanie!E$9),"tak","nie")</f>
        <v>nie</v>
      </c>
      <c r="R74" s="41"/>
      <c r="S74" s="42"/>
      <c r="T74" s="88">
        <f t="shared" si="57"/>
        <v>-1322.8368961388599</v>
      </c>
      <c r="U74" s="89">
        <f>IF(Q74="tak",T74,IF(P74-SUM(AB$5:AB74)+1&gt;0,IF(Podsumowanie!E$7&lt;B74,IF(SUM(AB$5:AB74)-Podsumowanie!E$9+1&gt;0,PMT(M74/12,P74+1-SUM(AB$5:AB74),O74),T74),0),0))</f>
        <v>-1905.0709917080721</v>
      </c>
      <c r="V74" s="89">
        <f t="shared" si="83"/>
        <v>-582.2340955692123</v>
      </c>
      <c r="W74" s="90" t="str">
        <f>IF(R74&gt;0,R74/(C74*(1-Podsumowanie!E$11))," ")</f>
        <v xml:space="preserve"> </v>
      </c>
      <c r="X74" s="90" t="str">
        <f t="shared" si="105"/>
        <v xml:space="preserve"> </v>
      </c>
      <c r="Y74" s="91">
        <f t="shared" si="3"/>
        <v>-599.7666362313055</v>
      </c>
      <c r="Z74" s="90">
        <f>IF(P74-SUM(AB$5:AB74)+1&gt;0,IF(Podsumowanie!E$7&lt;B74,IF(SUM(AB$5:AB74)-Podsumowanie!E$9+1&gt;0,PMT(M74/12,P74+1-SUM(AB$5:AB74),N74),Y74),0),0)</f>
        <v>-863.7482246024741</v>
      </c>
      <c r="AA74" s="90">
        <f t="shared" si="79"/>
        <v>-263.98158837116864</v>
      </c>
      <c r="AB74" s="8">
        <f>IF(AND(Podsumowanie!E$7&lt;B74,SUM(AB$5:AB73)&lt;P73),1," ")</f>
        <v>1</v>
      </c>
      <c r="AD74" s="10">
        <f>Podsumowanie!E$4-SUM(AF$5:AF73)+SUM(W$42:W74)-SUM(X$42:X74)</f>
        <v>180347.3581355522</v>
      </c>
      <c r="AE74" s="10">
        <f t="shared" si="61"/>
        <v>598.15</v>
      </c>
      <c r="AF74" s="10">
        <f t="shared" si="62"/>
        <v>505.17</v>
      </c>
      <c r="AG74" s="10">
        <f t="shared" si="63"/>
        <v>1103.32</v>
      </c>
      <c r="AH74" s="10">
        <f t="shared" si="106"/>
        <v>2520.24</v>
      </c>
      <c r="AI74" s="10">
        <f>Podsumowanie!E$2-SUM(AK$5:AK73)+SUM(R$42:R74)-SUM(S$42:S74)</f>
        <v>397771.58</v>
      </c>
      <c r="AJ74" s="10">
        <f t="shared" si="65"/>
        <v>1319.28</v>
      </c>
      <c r="AK74" s="10">
        <f t="shared" si="66"/>
        <v>1114.21</v>
      </c>
      <c r="AL74" s="10">
        <f t="shared" si="67"/>
        <v>2433.49</v>
      </c>
      <c r="AM74" s="10">
        <f t="shared" si="68"/>
        <v>86.75</v>
      </c>
      <c r="AO74" s="43">
        <f t="shared" si="107"/>
        <v>39356</v>
      </c>
      <c r="AP74" s="11">
        <f>AP$5+SUM(AS$5:AS73)-SUM(X$5:X74)+SUM(W$5:W74)</f>
        <v>175409.1368274471</v>
      </c>
      <c r="AQ74" s="10">
        <f t="shared" si="70"/>
        <v>-581.7736371443663</v>
      </c>
      <c r="AR74" s="10">
        <f>IF(AB74=1,IF(Q74="tak",AQ74,PMT(M74/12,P74+1-SUM(AB$5:AB74),AP74)),0)</f>
        <v>-837.8357778643998</v>
      </c>
      <c r="AS74" s="10">
        <f t="shared" si="71"/>
        <v>-256.06214072003354</v>
      </c>
      <c r="AT74" s="10">
        <f t="shared" si="72"/>
        <v>-1858.0684045698792</v>
      </c>
      <c r="AV74" s="11">
        <f>AV$5+SUM(AX$5:AX73)+SUM(W$5:W73)-SUM(X$5:X73)</f>
        <v>174936.92719148562</v>
      </c>
      <c r="AW74" s="11">
        <f t="shared" si="73"/>
        <v>-581.7736371443663</v>
      </c>
      <c r="AX74" s="11">
        <f t="shared" si="74"/>
        <v>-490.02</v>
      </c>
      <c r="AY74" s="11">
        <f t="shared" si="75"/>
        <v>-1071.7936371443661</v>
      </c>
      <c r="AZ74" s="11">
        <f t="shared" si="108"/>
        <v>-2376.9167490950604</v>
      </c>
      <c r="BB74" s="191">
        <f t="shared" si="86"/>
        <v>0.0513</v>
      </c>
      <c r="BC74" s="44">
        <f>BB74+Podsumowanie!$E$6</f>
        <v>0.0633</v>
      </c>
      <c r="BD74" s="11">
        <f>BD$5+SUM(BE$5:BE73)+SUM(R$5:R73)-SUM(S$5:S73)</f>
        <v>399231.52402052935</v>
      </c>
      <c r="BE74" s="10">
        <f t="shared" si="80"/>
        <v>-377.6537432532791</v>
      </c>
      <c r="BF74" s="10">
        <f t="shared" si="78"/>
        <v>-2105.9462892082925</v>
      </c>
      <c r="BG74" s="10">
        <f>IF(U74&lt;0,PMT(BC74/12,Podsumowanie!E$8-SUM(AB$5:AB74)+1,BD74),0)</f>
        <v>-2483.6000324615716</v>
      </c>
      <c r="BI74" s="11">
        <f>BI$5+SUM(BK$5:BK73)+SUM(R$5:R73)-SUM(S$5:S73)</f>
        <v>397771.5877437326</v>
      </c>
      <c r="BJ74" s="11">
        <f t="shared" si="87"/>
        <v>-2098.2451253481895</v>
      </c>
      <c r="BK74" s="11">
        <f t="shared" si="88"/>
        <v>-1114.2061281337049</v>
      </c>
      <c r="BL74" s="11">
        <f t="shared" si="89"/>
        <v>-3212.451253481894</v>
      </c>
      <c r="BN74" s="44">
        <f t="shared" si="90"/>
        <v>0.0634</v>
      </c>
      <c r="BO74" s="11">
        <f>BO$5+SUM(BP$5:BP73)+SUM(R$5:R73)-SUM(S$5:S73)+SUM(BS$5:BS73)</f>
        <v>400014.4382950028</v>
      </c>
      <c r="BP74" s="10">
        <f t="shared" si="99"/>
        <v>-377.6683757101164</v>
      </c>
      <c r="BQ74" s="10">
        <f t="shared" si="100"/>
        <v>-2113.409615658598</v>
      </c>
      <c r="BR74" s="10">
        <f>IF(U74&lt;0,PMT(BN74/12,Podsumowanie!E$8-SUM(AB$5:AB74)+1,BO74),0)</f>
        <v>-2491.0779913687143</v>
      </c>
      <c r="BS74" s="10">
        <f t="shared" si="94"/>
        <v>518.0775205367804</v>
      </c>
      <c r="BU74" s="11">
        <f>BU$5+SUM(BW$5:BW73)+SUM(R$5:R73)-SUM(S$5:S73)+SUM(BY$5,BY73)</f>
        <v>398910.3030416272</v>
      </c>
      <c r="BV74" s="10">
        <f t="shared" si="91"/>
        <v>-2107.5761010699302</v>
      </c>
      <c r="BW74" s="10">
        <f t="shared" si="92"/>
        <v>-1117.395806839292</v>
      </c>
      <c r="BX74" s="10">
        <f t="shared" si="101"/>
        <v>-3224.971907909222</v>
      </c>
      <c r="BY74" s="10">
        <f t="shared" si="102"/>
        <v>1251.971437077288</v>
      </c>
      <c r="CA74" s="10">
        <f>CA$5+SUM(CB$5:CB73)+SUM(R$5:R73)-SUM(S$5:S73)-SUM(CC$5:CC73)</f>
        <v>400014.4382950028</v>
      </c>
      <c r="CB74" s="10">
        <f t="shared" si="95"/>
        <v>2107.5761010699302</v>
      </c>
      <c r="CC74" s="10">
        <f t="shared" si="96"/>
        <v>1973.0004708319339</v>
      </c>
      <c r="CD74" s="10">
        <f t="shared" si="97"/>
        <v>-134.5756302379964</v>
      </c>
      <c r="CF74" s="44">
        <f t="shared" si="93"/>
        <v>0.7516</v>
      </c>
      <c r="CG74" s="10">
        <f t="shared" si="98"/>
        <v>-1482.91</v>
      </c>
      <c r="CH74" s="4">
        <f t="shared" si="103"/>
        <v>0</v>
      </c>
    </row>
    <row r="75" spans="1:86" ht="15.75">
      <c r="A75" s="36"/>
      <c r="B75" s="37">
        <v>39387</v>
      </c>
      <c r="C75" s="77">
        <f t="shared" si="84"/>
        <v>2.2179</v>
      </c>
      <c r="D75" s="78">
        <f>C75*(1+Podsumowanie!E$11)</f>
        <v>2.284437</v>
      </c>
      <c r="E75" s="34">
        <f t="shared" si="51"/>
        <v>-863.748224602474</v>
      </c>
      <c r="F75" s="7">
        <f t="shared" si="81"/>
        <v>-1973.178402966202</v>
      </c>
      <c r="G75" s="7">
        <f t="shared" si="53"/>
        <v>-1905.0709917080721</v>
      </c>
      <c r="H75" s="7">
        <f t="shared" si="82"/>
        <v>68.10741125812979</v>
      </c>
      <c r="I75" s="32"/>
      <c r="J75" s="4" t="str">
        <f t="shared" si="104"/>
        <v xml:space="preserve"> </v>
      </c>
      <c r="K75" s="4">
        <f>IF(B75&lt;Podsumowanie!E$7,0,K74+1)</f>
        <v>5</v>
      </c>
      <c r="L75" s="100">
        <f t="shared" si="85"/>
        <v>0.0278</v>
      </c>
      <c r="M75" s="38">
        <f>L75+Podsumowanie!E$6</f>
        <v>0.0398</v>
      </c>
      <c r="N75" s="101">
        <f>MAX(Podsumowanie!E$4+SUM(AA$5:AA74)-SUM(X$5:X75)+SUM(W$5:W75),0)</f>
        <v>180570.18008940938</v>
      </c>
      <c r="O75" s="102">
        <f>MAX(Podsumowanie!E$2+SUM(V$5:V74)-SUM(S$5:S75)+SUM(R$5:R75),0)</f>
        <v>398263.06122268003</v>
      </c>
      <c r="P75" s="39">
        <f t="shared" si="56"/>
        <v>360</v>
      </c>
      <c r="Q75" s="40" t="str">
        <f>IF(AND(K75&gt;0,K75&lt;=Podsumowanie!E$9),"tak","nie")</f>
        <v>nie</v>
      </c>
      <c r="R75" s="41"/>
      <c r="S75" s="42"/>
      <c r="T75" s="88">
        <f t="shared" si="57"/>
        <v>-1320.905819721889</v>
      </c>
      <c r="U75" s="89">
        <f>IF(Q75="tak",T75,IF(P75-SUM(AB$5:AB75)+1&gt;0,IF(Podsumowanie!E$7&lt;B75,IF(SUM(AB$5:AB75)-Podsumowanie!E$9+1&gt;0,PMT(M75/12,P75+1-SUM(AB$5:AB75),O75),T75),0),0))</f>
        <v>-1905.0709917080721</v>
      </c>
      <c r="V75" s="89">
        <f t="shared" si="83"/>
        <v>-584.1651719861832</v>
      </c>
      <c r="W75" s="90" t="str">
        <f>IF(R75&gt;0,R75/(C75*(1-Podsumowanie!E$11))," ")</f>
        <v xml:space="preserve"> </v>
      </c>
      <c r="X75" s="90" t="str">
        <f t="shared" si="105"/>
        <v xml:space="preserve"> </v>
      </c>
      <c r="Y75" s="91">
        <f t="shared" si="3"/>
        <v>-598.8910972965411</v>
      </c>
      <c r="Z75" s="90">
        <f>IF(P75-SUM(AB$5:AB75)+1&gt;0,IF(Podsumowanie!E$7&lt;B75,IF(SUM(AB$5:AB75)-Podsumowanie!E$9+1&gt;0,PMT(M75/12,P75+1-SUM(AB$5:AB75),N75),Y75),0),0)</f>
        <v>-863.748224602474</v>
      </c>
      <c r="AA75" s="90">
        <f t="shared" si="79"/>
        <v>-264.85712730593286</v>
      </c>
      <c r="AB75" s="8">
        <f>IF(AND(Podsumowanie!E$7&lt;B75,SUM(AB$5:AB74)&lt;P74),1," ")</f>
        <v>1</v>
      </c>
      <c r="AD75" s="10">
        <f>Podsumowanie!E$4-SUM(AF$5:AF74)+SUM(W$42:W75)-SUM(X$42:X75)</f>
        <v>179842.1881355522</v>
      </c>
      <c r="AE75" s="10">
        <f t="shared" si="61"/>
        <v>596.48</v>
      </c>
      <c r="AF75" s="10">
        <f t="shared" si="62"/>
        <v>505.17</v>
      </c>
      <c r="AG75" s="10">
        <f t="shared" si="63"/>
        <v>1101.65</v>
      </c>
      <c r="AH75" s="10">
        <f t="shared" si="106"/>
        <v>2516.65</v>
      </c>
      <c r="AI75" s="10">
        <f>Podsumowanie!E$2-SUM(AK$5:AK74)+SUM(R$42:R75)-SUM(S$42:S75)</f>
        <v>396657.37</v>
      </c>
      <c r="AJ75" s="10">
        <f t="shared" si="65"/>
        <v>1315.58</v>
      </c>
      <c r="AK75" s="10">
        <f t="shared" si="66"/>
        <v>1114.21</v>
      </c>
      <c r="AL75" s="10">
        <f t="shared" si="67"/>
        <v>2429.79</v>
      </c>
      <c r="AM75" s="10">
        <f t="shared" si="68"/>
        <v>86.86000000000013</v>
      </c>
      <c r="AO75" s="43">
        <f t="shared" si="107"/>
        <v>39387</v>
      </c>
      <c r="AP75" s="11">
        <f>AP$5+SUM(AS$5:AS74)-SUM(X$5:X75)+SUM(W$5:W75)</f>
        <v>175153.07468672708</v>
      </c>
      <c r="AQ75" s="10">
        <f t="shared" si="70"/>
        <v>-580.9243643776448</v>
      </c>
      <c r="AR75" s="10">
        <f>IF(AB75=1,IF(Q75="tak",AQ75,PMT(M75/12,P75+1-SUM(AB$5:AB75),AP75)),0)</f>
        <v>-837.8357778643997</v>
      </c>
      <c r="AS75" s="10">
        <f t="shared" si="71"/>
        <v>-256.9114134867549</v>
      </c>
      <c r="AT75" s="10">
        <f t="shared" si="72"/>
        <v>-1858.2359717254521</v>
      </c>
      <c r="AV75" s="11">
        <f>AV$5+SUM(AX$5:AX74)+SUM(W$5:W74)-SUM(X$5:X74)</f>
        <v>174446.90719148563</v>
      </c>
      <c r="AW75" s="11">
        <f t="shared" si="73"/>
        <v>-580.9243643776448</v>
      </c>
      <c r="AX75" s="11">
        <f t="shared" si="74"/>
        <v>-490.02</v>
      </c>
      <c r="AY75" s="11">
        <f t="shared" si="75"/>
        <v>-1070.944364377645</v>
      </c>
      <c r="AZ75" s="11">
        <f t="shared" si="108"/>
        <v>-2375.2475057531788</v>
      </c>
      <c r="BB75" s="191">
        <f t="shared" si="86"/>
        <v>0.0536</v>
      </c>
      <c r="BC75" s="44">
        <f>BB75+Podsumowanie!$E$6</f>
        <v>0.0656</v>
      </c>
      <c r="BD75" s="11">
        <f>BD$5+SUM(BE$5:BE74)+SUM(R$5:R74)-SUM(S$5:S74)</f>
        <v>398853.87027727603</v>
      </c>
      <c r="BE75" s="10">
        <f t="shared" si="80"/>
        <v>-363.24131326512634</v>
      </c>
      <c r="BF75" s="10">
        <f t="shared" si="78"/>
        <v>-2180.401157515776</v>
      </c>
      <c r="BG75" s="10">
        <f>IF(U75&lt;0,PMT(BC75/12,Podsumowanie!E$8-SUM(AB$5:AB75)+1,BD75),0)</f>
        <v>-2543.6424707809024</v>
      </c>
      <c r="BI75" s="11">
        <f>BI$5+SUM(BK$5:BK74)+SUM(R$5:R74)-SUM(S$5:S74)</f>
        <v>396657.38161559886</v>
      </c>
      <c r="BJ75" s="11">
        <f t="shared" si="87"/>
        <v>-2168.393686165274</v>
      </c>
      <c r="BK75" s="11">
        <f t="shared" si="88"/>
        <v>-1114.2061281337046</v>
      </c>
      <c r="BL75" s="11">
        <f t="shared" si="89"/>
        <v>-3282.599814298979</v>
      </c>
      <c r="BN75" s="44">
        <f t="shared" si="90"/>
        <v>0.06570000000000001</v>
      </c>
      <c r="BO75" s="11">
        <f>BO$5+SUM(BP$5:BP74)+SUM(R$5:R74)-SUM(S$5:S74)+SUM(BS$5:BS74)</f>
        <v>400154.84743982943</v>
      </c>
      <c r="BP75" s="10">
        <f t="shared" si="99"/>
        <v>-363.72431909537</v>
      </c>
      <c r="BQ75" s="10">
        <f t="shared" si="100"/>
        <v>-2190.8477897330663</v>
      </c>
      <c r="BR75" s="10">
        <f>IF(U75&lt;0,PMT(BN75/12,Podsumowanie!E$8-SUM(AB$5:AB75)+1,BO75),0)</f>
        <v>-2554.5721088284363</v>
      </c>
      <c r="BS75" s="10">
        <f t="shared" si="94"/>
        <v>581.3937058622344</v>
      </c>
      <c r="BU75" s="11">
        <f>BU$5+SUM(BW$5:BW74)+SUM(R$5:R74)-SUM(S$5:S74)+SUM(BY$5,BY74)</f>
        <v>397903.0791972852</v>
      </c>
      <c r="BV75" s="10">
        <f t="shared" si="91"/>
        <v>-2178.519358605137</v>
      </c>
      <c r="BW75" s="10">
        <f t="shared" si="92"/>
        <v>-1117.7052786440595</v>
      </c>
      <c r="BX75" s="10">
        <f t="shared" si="101"/>
        <v>-3296.2246372491963</v>
      </c>
      <c r="BY75" s="10">
        <f t="shared" si="102"/>
        <v>1323.0462342829944</v>
      </c>
      <c r="CA75" s="10">
        <f>CA$5+SUM(CB$5:CB74)+SUM(R$5:R74)-SUM(S$5:S74)-SUM(CC$5:CC74)</f>
        <v>400149.0139252408</v>
      </c>
      <c r="CB75" s="10">
        <f t="shared" si="95"/>
        <v>2178.519358605137</v>
      </c>
      <c r="CC75" s="10">
        <f t="shared" si="96"/>
        <v>1973.178402966202</v>
      </c>
      <c r="CD75" s="10">
        <f t="shared" si="97"/>
        <v>-205.34095563893493</v>
      </c>
      <c r="CF75" s="44">
        <f t="shared" si="93"/>
        <v>0.7395</v>
      </c>
      <c r="CG75" s="10">
        <f t="shared" si="98"/>
        <v>-1459.17</v>
      </c>
      <c r="CH75" s="4">
        <f t="shared" si="103"/>
        <v>0</v>
      </c>
    </row>
    <row r="76" spans="1:86" ht="15.75">
      <c r="A76" s="36"/>
      <c r="B76" s="37">
        <v>39417</v>
      </c>
      <c r="C76" s="77">
        <f t="shared" si="84"/>
        <v>2.1721</v>
      </c>
      <c r="D76" s="78">
        <f>C76*(1+Podsumowanie!E$11)</f>
        <v>2.237263</v>
      </c>
      <c r="E76" s="34">
        <f t="shared" si="51"/>
        <v>-863.7482246024741</v>
      </c>
      <c r="F76" s="7">
        <f t="shared" si="81"/>
        <v>-1932.431944218805</v>
      </c>
      <c r="G76" s="7">
        <f t="shared" si="53"/>
        <v>-1905.0709917080721</v>
      </c>
      <c r="H76" s="7">
        <f t="shared" si="82"/>
        <v>27.360952510732886</v>
      </c>
      <c r="I76" s="32"/>
      <c r="J76" s="4" t="str">
        <f t="shared" si="104"/>
        <v xml:space="preserve"> </v>
      </c>
      <c r="K76" s="4">
        <f>IF(B76&lt;Podsumowanie!E$7,0,K75+1)</f>
        <v>6</v>
      </c>
      <c r="L76" s="100">
        <f t="shared" si="85"/>
        <v>0.0278</v>
      </c>
      <c r="M76" s="38">
        <f>L76+Podsumowanie!E$6</f>
        <v>0.0398</v>
      </c>
      <c r="N76" s="101">
        <f>MAX(Podsumowanie!E$4+SUM(AA$5:AA75)-SUM(X$5:X76)+SUM(W$5:W76),0)</f>
        <v>180305.32296210344</v>
      </c>
      <c r="O76" s="102">
        <f>MAX(Podsumowanie!E$2+SUM(V$5:V75)-SUM(S$5:S76)+SUM(R$5:R76),0)</f>
        <v>397678.8960506938</v>
      </c>
      <c r="P76" s="39">
        <f t="shared" si="56"/>
        <v>360</v>
      </c>
      <c r="Q76" s="40" t="str">
        <f>IF(AND(K76&gt;0,K76&lt;=Podsumowanie!E$9),"tak","nie")</f>
        <v>nie</v>
      </c>
      <c r="R76" s="41"/>
      <c r="S76" s="42"/>
      <c r="T76" s="88">
        <f t="shared" si="57"/>
        <v>-1318.9683385681344</v>
      </c>
      <c r="U76" s="89">
        <f>IF(Q76="tak",T76,IF(P76-SUM(AB$5:AB76)+1&gt;0,IF(Podsumowanie!E$7&lt;B76,IF(SUM(AB$5:AB76)-Podsumowanie!E$9+1&gt;0,PMT(M76/12,P76+1-SUM(AB$5:AB76),O76),T76),0),0))</f>
        <v>-1905.0709917080721</v>
      </c>
      <c r="V76" s="89">
        <f t="shared" si="83"/>
        <v>-586.1026531399377</v>
      </c>
      <c r="W76" s="90" t="str">
        <f>IF(R76&gt;0,R76/(C76*(1-Podsumowanie!E$11))," ")</f>
        <v xml:space="preserve"> </v>
      </c>
      <c r="X76" s="90" t="str">
        <f t="shared" si="105"/>
        <v xml:space="preserve"> </v>
      </c>
      <c r="Y76" s="91">
        <f t="shared" si="3"/>
        <v>-598.0126544909764</v>
      </c>
      <c r="Z76" s="90">
        <f>IF(P76-SUM(AB$5:AB76)+1&gt;0,IF(Podsumowanie!E$7&lt;B76,IF(SUM(AB$5:AB76)-Podsumowanie!E$9+1&gt;0,PMT(M76/12,P76+1-SUM(AB$5:AB76),N76),Y76),0),0)</f>
        <v>-863.7482246024741</v>
      </c>
      <c r="AA76" s="90">
        <f t="shared" si="79"/>
        <v>-265.73557011149774</v>
      </c>
      <c r="AB76" s="8">
        <f>IF(AND(Podsumowanie!E$7&lt;B76,SUM(AB$5:AB75)&lt;P75),1," ")</f>
        <v>1</v>
      </c>
      <c r="AD76" s="10">
        <f>Podsumowanie!E$4-SUM(AF$5:AF75)+SUM(W$42:W76)-SUM(X$42:X76)</f>
        <v>179337.0181355522</v>
      </c>
      <c r="AE76" s="10">
        <f t="shared" si="61"/>
        <v>594.8</v>
      </c>
      <c r="AF76" s="10">
        <f t="shared" si="62"/>
        <v>505.17</v>
      </c>
      <c r="AG76" s="10">
        <f t="shared" si="63"/>
        <v>1099.97</v>
      </c>
      <c r="AH76" s="10">
        <f t="shared" si="106"/>
        <v>2460.92</v>
      </c>
      <c r="AI76" s="10">
        <f>Podsumowanie!E$2-SUM(AK$5:AK75)+SUM(R$42:R76)-SUM(S$42:S76)</f>
        <v>395543.16</v>
      </c>
      <c r="AJ76" s="10">
        <f t="shared" si="65"/>
        <v>1311.88</v>
      </c>
      <c r="AK76" s="10">
        <f t="shared" si="66"/>
        <v>1114.21</v>
      </c>
      <c r="AL76" s="10">
        <f t="shared" si="67"/>
        <v>2426.09</v>
      </c>
      <c r="AM76" s="10">
        <f t="shared" si="68"/>
        <v>34.82999999999993</v>
      </c>
      <c r="AO76" s="43">
        <f t="shared" si="107"/>
        <v>39417</v>
      </c>
      <c r="AP76" s="11">
        <f>AP$5+SUM(AS$5:AS75)-SUM(X$5:X76)+SUM(W$5:W76)</f>
        <v>174896.16327324032</v>
      </c>
      <c r="AQ76" s="10">
        <f t="shared" si="70"/>
        <v>-580.0722748562471</v>
      </c>
      <c r="AR76" s="10">
        <f>IF(AB76=1,IF(Q76="tak",AQ76,PMT(M76/12,P76+1-SUM(AB$5:AB76),AP76)),0)</f>
        <v>-837.8357778643999</v>
      </c>
      <c r="AS76" s="10">
        <f t="shared" si="71"/>
        <v>-257.76350300815284</v>
      </c>
      <c r="AT76" s="10">
        <f t="shared" si="72"/>
        <v>-1819.863093099263</v>
      </c>
      <c r="AV76" s="11">
        <f>AV$5+SUM(AX$5:AX75)+SUM(W$5:W75)-SUM(X$5:X75)</f>
        <v>173956.88719148564</v>
      </c>
      <c r="AW76" s="11">
        <f t="shared" si="73"/>
        <v>-580.0722748562471</v>
      </c>
      <c r="AX76" s="11">
        <f t="shared" si="74"/>
        <v>-490.02</v>
      </c>
      <c r="AY76" s="11">
        <f t="shared" si="75"/>
        <v>-1070.092274856247</v>
      </c>
      <c r="AZ76" s="11">
        <f t="shared" si="108"/>
        <v>-2324.347430215254</v>
      </c>
      <c r="BB76" s="191">
        <f t="shared" si="86"/>
        <v>0.0567</v>
      </c>
      <c r="BC76" s="44">
        <f>BB76+Podsumowanie!$E$6</f>
        <v>0.0687</v>
      </c>
      <c r="BD76" s="11">
        <f>BD$5+SUM(BE$5:BE75)+SUM(R$5:R75)-SUM(S$5:S75)</f>
        <v>398490.6289640109</v>
      </c>
      <c r="BE76" s="10">
        <f t="shared" si="80"/>
        <v>-344.01706375391177</v>
      </c>
      <c r="BF76" s="10">
        <f t="shared" si="78"/>
        <v>-2281.3588508189623</v>
      </c>
      <c r="BG76" s="10">
        <f>IF(U76&lt;0,PMT(BC76/12,Podsumowanie!E$8-SUM(AB$5:AB76)+1,BD76),0)</f>
        <v>-2625.375914572874</v>
      </c>
      <c r="BI76" s="11">
        <f>BI$5+SUM(BK$5:BK75)+SUM(R$5:R75)-SUM(S$5:S75)</f>
        <v>395543.17548746517</v>
      </c>
      <c r="BJ76" s="11">
        <f t="shared" si="87"/>
        <v>-2264.484679665738</v>
      </c>
      <c r="BK76" s="11">
        <f t="shared" si="88"/>
        <v>-1114.2061281337046</v>
      </c>
      <c r="BL76" s="11">
        <f t="shared" si="89"/>
        <v>-3378.6908077994426</v>
      </c>
      <c r="BN76" s="44">
        <f t="shared" si="90"/>
        <v>0.0688</v>
      </c>
      <c r="BO76" s="11">
        <f>BO$5+SUM(BP$5:BP75)+SUM(R$5:R75)-SUM(S$5:S75)+SUM(BS$5:BS75)</f>
        <v>400372.5168265963</v>
      </c>
      <c r="BP76" s="10">
        <f t="shared" si="99"/>
        <v>-344.97205264073045</v>
      </c>
      <c r="BQ76" s="10">
        <f t="shared" si="100"/>
        <v>-2295.4690964724855</v>
      </c>
      <c r="BR76" s="10">
        <f>IF(U76&lt;0,PMT(BN76/12,Podsumowanie!E$8-SUM(AB$5:AB76)+1,BO76),0)</f>
        <v>-2640.441149113216</v>
      </c>
      <c r="BS76" s="10">
        <f t="shared" si="94"/>
        <v>708.0092048944109</v>
      </c>
      <c r="BU76" s="11">
        <f>BU$5+SUM(BW$5:BW75)+SUM(R$5:R75)-SUM(S$5:S75)+SUM(BY$5,BY75)</f>
        <v>396856.44871584687</v>
      </c>
      <c r="BV76" s="10">
        <f t="shared" si="91"/>
        <v>-2275.310305970855</v>
      </c>
      <c r="BW76" s="10">
        <f t="shared" si="92"/>
        <v>-1117.9054893404136</v>
      </c>
      <c r="BX76" s="10">
        <f t="shared" si="101"/>
        <v>-3393.2157953112687</v>
      </c>
      <c r="BY76" s="10">
        <f t="shared" si="102"/>
        <v>1460.7838510924637</v>
      </c>
      <c r="CA76" s="10">
        <f>CA$5+SUM(CB$5:CB75)+SUM(R$5:R75)-SUM(S$5:S75)-SUM(CC$5:CC75)</f>
        <v>400354.3548808797</v>
      </c>
      <c r="CB76" s="10">
        <f t="shared" si="95"/>
        <v>2275.310305970855</v>
      </c>
      <c r="CC76" s="10">
        <f t="shared" si="96"/>
        <v>1932.431944218805</v>
      </c>
      <c r="CD76" s="10">
        <f t="shared" si="97"/>
        <v>-342.87836175205007</v>
      </c>
      <c r="CF76" s="44">
        <f t="shared" si="93"/>
        <v>0.7343</v>
      </c>
      <c r="CG76" s="10">
        <f t="shared" si="98"/>
        <v>-1418.98</v>
      </c>
      <c r="CH76" s="4">
        <f t="shared" si="103"/>
        <v>0</v>
      </c>
    </row>
    <row r="77" spans="1:86" ht="15.75">
      <c r="A77" s="36">
        <v>2008</v>
      </c>
      <c r="B77" s="37">
        <v>39448</v>
      </c>
      <c r="C77" s="77">
        <f t="shared" si="84"/>
        <v>2.2244</v>
      </c>
      <c r="D77" s="78">
        <f>C77*(1+Podsumowanie!E$11)</f>
        <v>2.291132</v>
      </c>
      <c r="E77" s="34">
        <f t="shared" si="51"/>
        <v>-863.748224602474</v>
      </c>
      <c r="F77" s="7">
        <f t="shared" si="81"/>
        <v>-1978.9611973299156</v>
      </c>
      <c r="G77" s="7">
        <f t="shared" si="53"/>
        <v>-1905.0709917080721</v>
      </c>
      <c r="H77" s="7">
        <f t="shared" si="82"/>
        <v>73.8902056218435</v>
      </c>
      <c r="I77" s="32"/>
      <c r="J77" s="4" t="str">
        <f t="shared" si="104"/>
        <v xml:space="preserve"> </v>
      </c>
      <c r="K77" s="4">
        <f>IF(B77&lt;Podsumowanie!E$7,0,K76+1)</f>
        <v>7</v>
      </c>
      <c r="L77" s="100">
        <f t="shared" si="85"/>
        <v>0.0278</v>
      </c>
      <c r="M77" s="38">
        <f>L77+Podsumowanie!E$6</f>
        <v>0.0398</v>
      </c>
      <c r="N77" s="101">
        <f>MAX(Podsumowanie!E$4+SUM(AA$5:AA76)-SUM(X$5:X77)+SUM(W$5:W77),0)</f>
        <v>180039.58739199192</v>
      </c>
      <c r="O77" s="102">
        <f>MAX(Podsumowanie!E$2+SUM(V$5:V76)-SUM(S$5:S77)+SUM(R$5:R77),0)</f>
        <v>397092.7933975539</v>
      </c>
      <c r="P77" s="39">
        <f t="shared" si="56"/>
        <v>360</v>
      </c>
      <c r="Q77" s="40" t="str">
        <f>IF(AND(K77&gt;0,K77&lt;=Podsumowanie!E$9),"tak","nie")</f>
        <v>nie</v>
      </c>
      <c r="R77" s="41"/>
      <c r="S77" s="42"/>
      <c r="T77" s="88">
        <f t="shared" si="57"/>
        <v>-1317.0244314352205</v>
      </c>
      <c r="U77" s="89">
        <f>IF(Q77="tak",T77,IF(P77-SUM(AB$5:AB77)+1&gt;0,IF(Podsumowanie!E$7&lt;B77,IF(SUM(AB$5:AB77)-Podsumowanie!E$9+1&gt;0,PMT(M77/12,P77+1-SUM(AB$5:AB77),O77),T77),0),0))</f>
        <v>-1905.0709917080721</v>
      </c>
      <c r="V77" s="89">
        <f t="shared" si="83"/>
        <v>-588.0465602728516</v>
      </c>
      <c r="W77" s="90" t="str">
        <f>IF(R77&gt;0,R77/(C77*(1-Podsumowanie!E$11))," ")</f>
        <v xml:space="preserve"> </v>
      </c>
      <c r="X77" s="90" t="str">
        <f t="shared" si="105"/>
        <v xml:space="preserve"> </v>
      </c>
      <c r="Y77" s="91">
        <f t="shared" si="3"/>
        <v>-597.13129818344</v>
      </c>
      <c r="Z77" s="90">
        <f>IF(P77-SUM(AB$5:AB77)+1&gt;0,IF(Podsumowanie!E$7&lt;B77,IF(SUM(AB$5:AB77)-Podsumowanie!E$9+1&gt;0,PMT(M77/12,P77+1-SUM(AB$5:AB77),N77),Y77),0),0)</f>
        <v>-863.748224602474</v>
      </c>
      <c r="AA77" s="90">
        <f t="shared" si="79"/>
        <v>-266.61692641903403</v>
      </c>
      <c r="AB77" s="8">
        <f>IF(AND(Podsumowanie!E$7&lt;B77,SUM(AB$5:AB76)&lt;P76),1," ")</f>
        <v>1</v>
      </c>
      <c r="AD77" s="10">
        <f>Podsumowanie!E$4-SUM(AF$5:AF76)+SUM(W$42:W77)-SUM(X$42:X77)</f>
        <v>178831.8481355522</v>
      </c>
      <c r="AE77" s="10">
        <f t="shared" si="61"/>
        <v>593.13</v>
      </c>
      <c r="AF77" s="10">
        <f t="shared" si="62"/>
        <v>505.17</v>
      </c>
      <c r="AG77" s="10">
        <f t="shared" si="63"/>
        <v>1098.3</v>
      </c>
      <c r="AH77" s="10">
        <f t="shared" si="106"/>
        <v>2516.35</v>
      </c>
      <c r="AI77" s="10">
        <f>Podsumowanie!E$2-SUM(AK$5:AK76)+SUM(R$42:R77)-SUM(S$42:S77)</f>
        <v>394428.95</v>
      </c>
      <c r="AJ77" s="10">
        <f t="shared" si="65"/>
        <v>1308.19</v>
      </c>
      <c r="AK77" s="10">
        <f t="shared" si="66"/>
        <v>1114.21</v>
      </c>
      <c r="AL77" s="10">
        <f t="shared" si="67"/>
        <v>2422.4</v>
      </c>
      <c r="AM77" s="10">
        <f t="shared" si="68"/>
        <v>93.94999999999982</v>
      </c>
      <c r="AO77" s="43">
        <f t="shared" si="107"/>
        <v>39448</v>
      </c>
      <c r="AP77" s="11">
        <f>AP$5+SUM(AS$5:AS76)-SUM(X$5:X77)+SUM(W$5:W77)</f>
        <v>174638.39977023218</v>
      </c>
      <c r="AQ77" s="10">
        <f t="shared" si="70"/>
        <v>-579.2173592379368</v>
      </c>
      <c r="AR77" s="10">
        <f>IF(AB77=1,IF(Q77="tak",AQ77,PMT(M77/12,P77+1-SUM(AB$5:AB77),AP77)),0)</f>
        <v>-837.8357778643999</v>
      </c>
      <c r="AS77" s="10">
        <f t="shared" si="71"/>
        <v>-258.61841862646315</v>
      </c>
      <c r="AT77" s="10">
        <f t="shared" si="72"/>
        <v>-1863.6819042815714</v>
      </c>
      <c r="AV77" s="11">
        <f>AV$5+SUM(AX$5:AX76)+SUM(W$5:W76)-SUM(X$5:X76)</f>
        <v>173466.86719148562</v>
      </c>
      <c r="AW77" s="11">
        <f t="shared" si="73"/>
        <v>-579.2173592379368</v>
      </c>
      <c r="AX77" s="11">
        <f t="shared" si="74"/>
        <v>-490.02</v>
      </c>
      <c r="AY77" s="11">
        <f t="shared" si="75"/>
        <v>-1069.2373592379367</v>
      </c>
      <c r="AZ77" s="11">
        <f t="shared" si="108"/>
        <v>-2378.4115818888667</v>
      </c>
      <c r="BB77" s="191">
        <f t="shared" si="86"/>
        <v>0.0564</v>
      </c>
      <c r="BC77" s="44">
        <f>BB77+Podsumowanie!$E$6</f>
        <v>0.0684</v>
      </c>
      <c r="BD77" s="11">
        <f>BD$5+SUM(BE$5:BE76)+SUM(R$5:R76)-SUM(S$5:S76)</f>
        <v>398146.611900257</v>
      </c>
      <c r="BE77" s="10">
        <f t="shared" si="80"/>
        <v>-347.99720907403844</v>
      </c>
      <c r="BF77" s="10">
        <f t="shared" si="78"/>
        <v>-2269.435687831465</v>
      </c>
      <c r="BG77" s="10">
        <f>IF(U77&lt;0,PMT(BC77/12,Podsumowanie!E$8-SUM(AB$5:AB77)+1,BD77),0)</f>
        <v>-2617.4328969055036</v>
      </c>
      <c r="BI77" s="11">
        <f>BI$5+SUM(BK$5:BK76)+SUM(R$5:R76)-SUM(S$5:S76)</f>
        <v>394428.9693593315</v>
      </c>
      <c r="BJ77" s="11">
        <f t="shared" si="87"/>
        <v>-2248.2451253481895</v>
      </c>
      <c r="BK77" s="11">
        <f t="shared" si="88"/>
        <v>-1114.2061281337046</v>
      </c>
      <c r="BL77" s="11">
        <f t="shared" si="89"/>
        <v>-3362.451253481894</v>
      </c>
      <c r="BN77" s="44">
        <f t="shared" si="90"/>
        <v>0.0685</v>
      </c>
      <c r="BO77" s="11">
        <f>BO$5+SUM(BP$5:BP76)+SUM(R$5:R76)-SUM(S$5:S76)+SUM(BS$5:BS76)</f>
        <v>400735.55397884996</v>
      </c>
      <c r="BP77" s="10">
        <f t="shared" si="99"/>
        <v>-349.5843804007786</v>
      </c>
      <c r="BQ77" s="10">
        <f t="shared" si="100"/>
        <v>-2287.532120629269</v>
      </c>
      <c r="BR77" s="10">
        <f>IF(U77&lt;0,PMT(BN77/12,Podsumowanie!E$8-SUM(AB$5:AB77)+1,BO77),0)</f>
        <v>-2637.1165010300474</v>
      </c>
      <c r="BS77" s="10">
        <f t="shared" si="94"/>
        <v>658.1553037001318</v>
      </c>
      <c r="BU77" s="11">
        <f>BU$5+SUM(BW$5:BW76)+SUM(R$5:R76)-SUM(S$5:S76)+SUM(BY$5,BY76)</f>
        <v>395876.2808433159</v>
      </c>
      <c r="BV77" s="10">
        <f t="shared" si="91"/>
        <v>-2259.793769813928</v>
      </c>
      <c r="BW77" s="10">
        <f t="shared" si="92"/>
        <v>-1118.2945786534347</v>
      </c>
      <c r="BX77" s="10">
        <f t="shared" si="101"/>
        <v>-3378.0883484673627</v>
      </c>
      <c r="BY77" s="10">
        <f t="shared" si="102"/>
        <v>1399.127151137447</v>
      </c>
      <c r="CA77" s="10">
        <f>CA$5+SUM(CB$5:CB76)+SUM(R$5:R76)-SUM(S$5:S76)-SUM(CC$5:CC76)</f>
        <v>400697.2332426317</v>
      </c>
      <c r="CB77" s="10">
        <f t="shared" si="95"/>
        <v>2259.793769813928</v>
      </c>
      <c r="CC77" s="10">
        <f t="shared" si="96"/>
        <v>1978.9611973299156</v>
      </c>
      <c r="CD77" s="10">
        <f t="shared" si="97"/>
        <v>-280.8325724840124</v>
      </c>
      <c r="CF77" s="44">
        <f t="shared" si="93"/>
        <v>0.7222</v>
      </c>
      <c r="CG77" s="10">
        <f t="shared" si="98"/>
        <v>-1429.21</v>
      </c>
      <c r="CH77" s="4">
        <f t="shared" si="103"/>
        <v>0</v>
      </c>
    </row>
    <row r="78" spans="1:86" ht="15.75">
      <c r="A78" s="36"/>
      <c r="B78" s="37">
        <v>39479</v>
      </c>
      <c r="C78" s="77">
        <f t="shared" si="84"/>
        <v>2.2278</v>
      </c>
      <c r="D78" s="78">
        <f>C78*(1+Podsumowanie!E$11)</f>
        <v>2.294634</v>
      </c>
      <c r="E78" s="34">
        <f t="shared" si="51"/>
        <v>-851.4243923101405</v>
      </c>
      <c r="F78" s="7">
        <f t="shared" si="81"/>
        <v>-1953.7073590241869</v>
      </c>
      <c r="G78" s="7">
        <f t="shared" si="53"/>
        <v>-1877.8897197377535</v>
      </c>
      <c r="H78" s="7">
        <f t="shared" si="82"/>
        <v>75.8176392864334</v>
      </c>
      <c r="I78" s="32"/>
      <c r="J78" s="4" t="str">
        <f t="shared" si="104"/>
        <v xml:space="preserve"> </v>
      </c>
      <c r="K78" s="4">
        <f>IF(B78&lt;Podsumowanie!E$7,0,K77+1)</f>
        <v>8</v>
      </c>
      <c r="L78" s="100">
        <f t="shared" si="85"/>
        <v>0.0266</v>
      </c>
      <c r="M78" s="38">
        <f>L78+Podsumowanie!E$6</f>
        <v>0.038599999999999995</v>
      </c>
      <c r="N78" s="101">
        <f>MAX(Podsumowanie!E$4+SUM(AA$5:AA77)-SUM(X$5:X78)+SUM(W$5:W78),0)</f>
        <v>179772.9704655729</v>
      </c>
      <c r="O78" s="102">
        <f>MAX(Podsumowanie!E$2+SUM(V$5:V77)-SUM(S$5:S78)+SUM(R$5:R78),0)</f>
        <v>396504.74683728104</v>
      </c>
      <c r="P78" s="39">
        <f t="shared" si="56"/>
        <v>360</v>
      </c>
      <c r="Q78" s="40" t="str">
        <f>IF(AND(K78&gt;0,K78&lt;=Podsumowanie!E$9),"tak","nie")</f>
        <v>nie</v>
      </c>
      <c r="R78" s="41"/>
      <c r="S78" s="42"/>
      <c r="T78" s="88">
        <f t="shared" si="57"/>
        <v>-1275.4236023265873</v>
      </c>
      <c r="U78" s="89">
        <f>IF(Q78="tak",T78,IF(P78-SUM(AB$5:AB78)+1&gt;0,IF(Podsumowanie!E$7&lt;B78,IF(SUM(AB$5:AB78)-Podsumowanie!E$9+1&gt;0,PMT(M78/12,P78+1-SUM(AB$5:AB78),O78),T78),0),0))</f>
        <v>-1877.8897197377535</v>
      </c>
      <c r="V78" s="89">
        <f t="shared" si="83"/>
        <v>-602.4661174111661</v>
      </c>
      <c r="W78" s="90" t="str">
        <f>IF(R78&gt;0,R78/(C78*(1-Podsumowanie!E$11))," ")</f>
        <v xml:space="preserve"> </v>
      </c>
      <c r="X78" s="90" t="str">
        <f t="shared" si="105"/>
        <v xml:space="preserve"> </v>
      </c>
      <c r="Y78" s="91">
        <f t="shared" si="3"/>
        <v>-578.2697216642595</v>
      </c>
      <c r="Z78" s="90">
        <f>IF(P78-SUM(AB$5:AB78)+1&gt;0,IF(Podsumowanie!E$7&lt;B78,IF(SUM(AB$5:AB78)-Podsumowanie!E$9+1&gt;0,PMT(M78/12,P78+1-SUM(AB$5:AB78),N78),Y78),0),0)</f>
        <v>-851.4243923101405</v>
      </c>
      <c r="AA78" s="90">
        <f t="shared" si="79"/>
        <v>-273.1546706458811</v>
      </c>
      <c r="AB78" s="8">
        <f>IF(AND(Podsumowanie!E$7&lt;B78,SUM(AB$5:AB77)&lt;P77),1," ")</f>
        <v>1</v>
      </c>
      <c r="AD78" s="10">
        <f>Podsumowanie!E$4-SUM(AF$5:AF77)+SUM(W$42:W78)-SUM(X$42:X78)</f>
        <v>178326.6781355522</v>
      </c>
      <c r="AE78" s="10">
        <f t="shared" si="61"/>
        <v>573.62</v>
      </c>
      <c r="AF78" s="10">
        <f t="shared" si="62"/>
        <v>505.17</v>
      </c>
      <c r="AG78" s="10">
        <f t="shared" si="63"/>
        <v>1078.79</v>
      </c>
      <c r="AH78" s="10">
        <f t="shared" si="106"/>
        <v>2475.43</v>
      </c>
      <c r="AI78" s="10">
        <f>Podsumowanie!E$2-SUM(AK$5:AK77)+SUM(R$42:R78)-SUM(S$42:S78)</f>
        <v>393314.74</v>
      </c>
      <c r="AJ78" s="10">
        <f t="shared" si="65"/>
        <v>1265.16</v>
      </c>
      <c r="AK78" s="10">
        <f t="shared" si="66"/>
        <v>1114.21</v>
      </c>
      <c r="AL78" s="10">
        <f t="shared" si="67"/>
        <v>2379.37</v>
      </c>
      <c r="AM78" s="10">
        <f t="shared" si="68"/>
        <v>96.05999999999995</v>
      </c>
      <c r="AO78" s="43">
        <f t="shared" si="107"/>
        <v>39479</v>
      </c>
      <c r="AP78" s="11">
        <f>AP$5+SUM(AS$5:AS77)-SUM(X$5:X78)+SUM(W$5:W78)</f>
        <v>174379.78135160572</v>
      </c>
      <c r="AQ78" s="10">
        <f t="shared" si="70"/>
        <v>-560.9216300143316</v>
      </c>
      <c r="AR78" s="10">
        <f>IF(AB78=1,IF(Q78="tak",AQ78,PMT(M78/12,P78+1-SUM(AB$5:AB78),AP78)),0)</f>
        <v>-825.8816605408364</v>
      </c>
      <c r="AS78" s="10">
        <f t="shared" si="71"/>
        <v>-264.96003052650474</v>
      </c>
      <c r="AT78" s="10">
        <f t="shared" si="72"/>
        <v>-1839.8991633528751</v>
      </c>
      <c r="AV78" s="11">
        <f>AV$5+SUM(AX$5:AX77)+SUM(W$5:W77)-SUM(X$5:X77)</f>
        <v>172976.84719148563</v>
      </c>
      <c r="AW78" s="11">
        <f t="shared" si="73"/>
        <v>-560.9216300143316</v>
      </c>
      <c r="AX78" s="11">
        <f t="shared" si="74"/>
        <v>-490.02</v>
      </c>
      <c r="AY78" s="11">
        <f t="shared" si="75"/>
        <v>-1050.9416300143316</v>
      </c>
      <c r="AZ78" s="11">
        <f t="shared" si="108"/>
        <v>-2341.287763345928</v>
      </c>
      <c r="BB78" s="191">
        <f t="shared" si="86"/>
        <v>0.0574</v>
      </c>
      <c r="BC78" s="44">
        <f>BB78+Podsumowanie!$E$6</f>
        <v>0.0694</v>
      </c>
      <c r="BD78" s="11">
        <f>BD$5+SUM(BE$5:BE77)+SUM(R$5:R77)-SUM(S$5:S77)</f>
        <v>397798.614691183</v>
      </c>
      <c r="BE78" s="10">
        <f t="shared" si="80"/>
        <v>-343.3015042388174</v>
      </c>
      <c r="BF78" s="10">
        <f t="shared" si="78"/>
        <v>-2300.601988297342</v>
      </c>
      <c r="BG78" s="10">
        <f>IF(U78&lt;0,PMT(BC78/12,Podsumowanie!E$8-SUM(AB$5:AB78)+1,BD78),0)</f>
        <v>-2643.9034925361593</v>
      </c>
      <c r="BI78" s="11">
        <f>BI$5+SUM(BK$5:BK77)+SUM(R$5:R77)-SUM(S$5:S77)</f>
        <v>393314.7632311978</v>
      </c>
      <c r="BJ78" s="11">
        <f t="shared" si="87"/>
        <v>-2274.670380687094</v>
      </c>
      <c r="BK78" s="11">
        <f t="shared" si="88"/>
        <v>-1114.2061281337049</v>
      </c>
      <c r="BL78" s="11">
        <f t="shared" si="89"/>
        <v>-3388.8765088207992</v>
      </c>
      <c r="BN78" s="44">
        <f t="shared" si="90"/>
        <v>0.0695</v>
      </c>
      <c r="BO78" s="11">
        <f>BO$5+SUM(BP$5:BP77)+SUM(R$5:R77)-SUM(S$5:S77)+SUM(BS$5:BS77)</f>
        <v>401044.1249021493</v>
      </c>
      <c r="BP78" s="10">
        <f t="shared" si="99"/>
        <v>-345.43503026373264</v>
      </c>
      <c r="BQ78" s="10">
        <f t="shared" si="100"/>
        <v>-2322.713890058282</v>
      </c>
      <c r="BR78" s="10">
        <f>IF(U78&lt;0,PMT(BN78/12,Podsumowanie!E$8-SUM(AB$5:AB78)+1,BO78),0)</f>
        <v>-2668.1489203220144</v>
      </c>
      <c r="BS78" s="10">
        <f t="shared" si="94"/>
        <v>714.4415612978275</v>
      </c>
      <c r="BU78" s="11">
        <f>BU$5+SUM(BW$5:BW77)+SUM(R$5:R77)-SUM(S$5:S77)+SUM(BY$5,BY77)</f>
        <v>394696.3295647074</v>
      </c>
      <c r="BV78" s="10">
        <f t="shared" si="91"/>
        <v>-2285.9495753955975</v>
      </c>
      <c r="BW78" s="10">
        <f t="shared" si="92"/>
        <v>-1118.1199137810409</v>
      </c>
      <c r="BX78" s="10">
        <f t="shared" si="101"/>
        <v>-3404.0694891766384</v>
      </c>
      <c r="BY78" s="10">
        <f t="shared" si="102"/>
        <v>1450.3621301524515</v>
      </c>
      <c r="CA78" s="10">
        <f>CA$5+SUM(CB$5:CB77)+SUM(R$5:R77)-SUM(S$5:S77)-SUM(CC$5:CC77)</f>
        <v>400978.06581511575</v>
      </c>
      <c r="CB78" s="10">
        <f t="shared" si="95"/>
        <v>2285.9495753955975</v>
      </c>
      <c r="CC78" s="10">
        <f t="shared" si="96"/>
        <v>1953.7073590241869</v>
      </c>
      <c r="CD78" s="10">
        <f t="shared" si="97"/>
        <v>-332.2422163714107</v>
      </c>
      <c r="CF78" s="44">
        <f t="shared" si="93"/>
        <v>0.7153</v>
      </c>
      <c r="CG78" s="10">
        <f t="shared" si="98"/>
        <v>-1397.49</v>
      </c>
      <c r="CH78" s="4">
        <f t="shared" si="103"/>
        <v>0</v>
      </c>
    </row>
    <row r="79" spans="1:86" ht="15.75">
      <c r="A79" s="36"/>
      <c r="B79" s="37">
        <v>39508</v>
      </c>
      <c r="C79" s="77">
        <f t="shared" si="84"/>
        <v>2.251</v>
      </c>
      <c r="D79" s="78">
        <f>C79*(1+Podsumowanie!E$11)</f>
        <v>2.31853</v>
      </c>
      <c r="E79" s="34">
        <f t="shared" si="51"/>
        <v>-864.7498952620924</v>
      </c>
      <c r="F79" s="7">
        <f t="shared" si="81"/>
        <v>-2004.9485746620192</v>
      </c>
      <c r="G79" s="7">
        <f t="shared" si="53"/>
        <v>-1907.2802624915373</v>
      </c>
      <c r="H79" s="7">
        <f t="shared" si="82"/>
        <v>97.66831217048184</v>
      </c>
      <c r="I79" s="32"/>
      <c r="J79" s="4" t="str">
        <f t="shared" si="104"/>
        <v xml:space="preserve"> </v>
      </c>
      <c r="K79" s="4">
        <f>IF(B79&lt;Podsumowanie!E$7,0,K78+1)</f>
        <v>9</v>
      </c>
      <c r="L79" s="100">
        <f t="shared" si="85"/>
        <v>0.0279</v>
      </c>
      <c r="M79" s="38">
        <f>L79+Podsumowanie!E$6</f>
        <v>0.039900000000000005</v>
      </c>
      <c r="N79" s="101">
        <f>MAX(Podsumowanie!E$4+SUM(AA$5:AA78)-SUM(X$5:X79)+SUM(W$5:W79),0)</f>
        <v>179499.815794927</v>
      </c>
      <c r="O79" s="102">
        <f>MAX(Podsumowanie!E$2+SUM(V$5:V78)-SUM(S$5:S79)+SUM(R$5:R79),0)</f>
        <v>395902.2807198699</v>
      </c>
      <c r="P79" s="39">
        <f t="shared" si="56"/>
        <v>360</v>
      </c>
      <c r="Q79" s="40" t="str">
        <f>IF(AND(K79&gt;0,K79&lt;=Podsumowanie!E$9),"tak","nie")</f>
        <v>nie</v>
      </c>
      <c r="R79" s="41"/>
      <c r="S79" s="42"/>
      <c r="T79" s="88">
        <f t="shared" si="57"/>
        <v>-1316.3750833935676</v>
      </c>
      <c r="U79" s="89">
        <f>IF(Q79="tak",T79,IF(P79-SUM(AB$5:AB79)+1&gt;0,IF(Podsumowanie!E$7&lt;B79,IF(SUM(AB$5:AB79)-Podsumowanie!E$9+1&gt;0,PMT(M79/12,P79+1-SUM(AB$5:AB79),O79),T79),0),0))</f>
        <v>-1907.2802624915373</v>
      </c>
      <c r="V79" s="89">
        <f t="shared" si="83"/>
        <v>-590.9051790979697</v>
      </c>
      <c r="W79" s="90" t="str">
        <f>IF(R79&gt;0,R79/(C79*(1-Podsumowanie!E$11))," ")</f>
        <v xml:space="preserve"> </v>
      </c>
      <c r="X79" s="90" t="str">
        <f t="shared" si="105"/>
        <v xml:space="preserve"> </v>
      </c>
      <c r="Y79" s="91">
        <f t="shared" si="3"/>
        <v>-596.8368875181324</v>
      </c>
      <c r="Z79" s="90">
        <f>IF(P79-SUM(AB$5:AB79)+1&gt;0,IF(Podsumowanie!E$7&lt;B79,IF(SUM(AB$5:AB79)-Podsumowanie!E$9+1&gt;0,PMT(M79/12,P79+1-SUM(AB$5:AB79),N79),Y79),0),0)</f>
        <v>-864.7498952620924</v>
      </c>
      <c r="AA79" s="90">
        <f t="shared" si="79"/>
        <v>-267.91300774396007</v>
      </c>
      <c r="AB79" s="8">
        <f>IF(AND(Podsumowanie!E$7&lt;B79,SUM(AB$5:AB78)&lt;P78),1," ")</f>
        <v>1</v>
      </c>
      <c r="AD79" s="10">
        <f>Podsumowanie!E$4-SUM(AF$5:AF78)+SUM(W$42:W79)-SUM(X$42:X79)</f>
        <v>177821.5081355522</v>
      </c>
      <c r="AE79" s="10">
        <f t="shared" si="61"/>
        <v>591.26</v>
      </c>
      <c r="AF79" s="10">
        <f t="shared" si="62"/>
        <v>505.17</v>
      </c>
      <c r="AG79" s="10">
        <f t="shared" si="63"/>
        <v>1096.43</v>
      </c>
      <c r="AH79" s="10">
        <f t="shared" si="106"/>
        <v>2542.11</v>
      </c>
      <c r="AI79" s="10">
        <f>Podsumowanie!E$2-SUM(AK$5:AK78)+SUM(R$42:R79)-SUM(S$42:S79)</f>
        <v>392200.53</v>
      </c>
      <c r="AJ79" s="10">
        <f t="shared" si="65"/>
        <v>1304.07</v>
      </c>
      <c r="AK79" s="10">
        <f t="shared" si="66"/>
        <v>1114.21</v>
      </c>
      <c r="AL79" s="10">
        <f t="shared" si="67"/>
        <v>2418.2799999999997</v>
      </c>
      <c r="AM79" s="10">
        <f t="shared" si="68"/>
        <v>123.83000000000038</v>
      </c>
      <c r="AO79" s="43">
        <f t="shared" si="107"/>
        <v>39508</v>
      </c>
      <c r="AP79" s="11">
        <f>AP$5+SUM(AS$5:AS78)-SUM(X$5:X79)+SUM(W$5:W79)</f>
        <v>174114.82132107922</v>
      </c>
      <c r="AQ79" s="10">
        <f t="shared" si="70"/>
        <v>-578.9317808925884</v>
      </c>
      <c r="AR79" s="10">
        <f>IF(AB79=1,IF(Q79="tak",AQ79,PMT(M79/12,P79+1-SUM(AB$5:AB79),AP79)),0)</f>
        <v>-838.8073984042297</v>
      </c>
      <c r="AS79" s="10">
        <f t="shared" si="71"/>
        <v>-259.8756175116413</v>
      </c>
      <c r="AT79" s="10">
        <f t="shared" si="72"/>
        <v>-1888.155453807921</v>
      </c>
      <c r="AV79" s="11">
        <f>AV$5+SUM(AX$5:AX78)+SUM(W$5:W78)-SUM(X$5:X78)</f>
        <v>172486.82719148562</v>
      </c>
      <c r="AW79" s="11">
        <f t="shared" si="73"/>
        <v>-578.9317808925884</v>
      </c>
      <c r="AX79" s="11">
        <f t="shared" si="74"/>
        <v>-490.02</v>
      </c>
      <c r="AY79" s="11">
        <f t="shared" si="75"/>
        <v>-1068.9517808925884</v>
      </c>
      <c r="AZ79" s="11">
        <f t="shared" si="108"/>
        <v>-2406.2104587892163</v>
      </c>
      <c r="BB79" s="191">
        <f t="shared" si="86"/>
        <v>0.0603</v>
      </c>
      <c r="BC79" s="44">
        <f>BB79+Podsumowanie!$E$6</f>
        <v>0.0723</v>
      </c>
      <c r="BD79" s="11">
        <f>BD$5+SUM(BE$5:BE78)+SUM(R$5:R78)-SUM(S$5:S78)</f>
        <v>397455.3131869442</v>
      </c>
      <c r="BE79" s="10">
        <f t="shared" si="80"/>
        <v>-326.47887785017974</v>
      </c>
      <c r="BF79" s="10">
        <f t="shared" si="78"/>
        <v>-2394.668261951339</v>
      </c>
      <c r="BG79" s="10">
        <f>IF(U79&lt;0,PMT(BC79/12,Podsumowanie!E$8-SUM(AB$5:AB79)+1,BD79),0)</f>
        <v>-2721.1471398015187</v>
      </c>
      <c r="BI79" s="11">
        <f>BI$5+SUM(BK$5:BK78)+SUM(R$5:R78)-SUM(S$5:S78)</f>
        <v>392200.5571030641</v>
      </c>
      <c r="BJ79" s="11">
        <f t="shared" si="87"/>
        <v>-2363.0083565459613</v>
      </c>
      <c r="BK79" s="11">
        <f t="shared" si="88"/>
        <v>-1114.2061281337049</v>
      </c>
      <c r="BL79" s="11">
        <f t="shared" si="89"/>
        <v>-3477.2144846796664</v>
      </c>
      <c r="BN79" s="44">
        <f t="shared" si="90"/>
        <v>0.07239999999999999</v>
      </c>
      <c r="BO79" s="11">
        <f>BO$5+SUM(BP$5:BP78)+SUM(R$5:R78)-SUM(S$5:S78)+SUM(BS$5:BS78)</f>
        <v>401413.1314331834</v>
      </c>
      <c r="BP79" s="10">
        <f t="shared" si="99"/>
        <v>-329.0909115617669</v>
      </c>
      <c r="BQ79" s="10">
        <f t="shared" si="100"/>
        <v>-2421.8592263135392</v>
      </c>
      <c r="BR79" s="10">
        <f>IF(U79&lt;0,PMT(BN79/12,Podsumowanie!E$8-SUM(AB$5:AB79)+1,BO79),0)</f>
        <v>-2750.950137875306</v>
      </c>
      <c r="BS79" s="10">
        <f t="shared" si="94"/>
        <v>746.001563213287</v>
      </c>
      <c r="BU79" s="11">
        <f>BU$5+SUM(BW$5:BW78)+SUM(R$5:R78)-SUM(S$5:S78)+SUM(BY$5,BY78)</f>
        <v>393629.4446299414</v>
      </c>
      <c r="BV79" s="10">
        <f t="shared" si="91"/>
        <v>-2374.897649267313</v>
      </c>
      <c r="BW79" s="10">
        <f t="shared" si="92"/>
        <v>-1118.2654676986972</v>
      </c>
      <c r="BX79" s="10">
        <f t="shared" si="101"/>
        <v>-3493.1631169660104</v>
      </c>
      <c r="BY79" s="10">
        <f t="shared" si="102"/>
        <v>1488.2145423039913</v>
      </c>
      <c r="CA79" s="10">
        <f>CA$5+SUM(CB$5:CB78)+SUM(R$5:R78)-SUM(S$5:S78)-SUM(CC$5:CC78)</f>
        <v>401310.30803148716</v>
      </c>
      <c r="CB79" s="10">
        <f t="shared" si="95"/>
        <v>2374.897649267313</v>
      </c>
      <c r="CC79" s="10">
        <f t="shared" si="96"/>
        <v>2004.9485746620192</v>
      </c>
      <c r="CD79" s="10">
        <f t="shared" si="97"/>
        <v>-369.9490746052941</v>
      </c>
      <c r="CF79" s="44">
        <f t="shared" si="93"/>
        <v>0.7085</v>
      </c>
      <c r="CG79" s="10">
        <f t="shared" si="98"/>
        <v>-1420.51</v>
      </c>
      <c r="CH79" s="4">
        <f t="shared" si="103"/>
        <v>0</v>
      </c>
    </row>
    <row r="80" spans="1:86" ht="15.75">
      <c r="A80" s="36"/>
      <c r="B80" s="37">
        <v>39539</v>
      </c>
      <c r="C80" s="77">
        <f t="shared" si="84"/>
        <v>2.1574</v>
      </c>
      <c r="D80" s="78">
        <f>C80*(1+Podsumowanie!E$11)</f>
        <v>2.222122</v>
      </c>
      <c r="E80" s="34">
        <f t="shared" si="51"/>
        <v>-875.0509844317614</v>
      </c>
      <c r="F80" s="7">
        <f t="shared" si="81"/>
        <v>-1944.4700436274748</v>
      </c>
      <c r="G80" s="7">
        <f t="shared" si="53"/>
        <v>-1930.0002005489107</v>
      </c>
      <c r="H80" s="7">
        <f t="shared" si="82"/>
        <v>14.469843078564054</v>
      </c>
      <c r="I80" s="32"/>
      <c r="J80" s="4" t="str">
        <f t="shared" si="104"/>
        <v xml:space="preserve"> </v>
      </c>
      <c r="K80" s="4">
        <f>IF(B80&lt;Podsumowanie!E$7,0,K79+1)</f>
        <v>10</v>
      </c>
      <c r="L80" s="100">
        <f t="shared" si="85"/>
        <v>0.0289</v>
      </c>
      <c r="M80" s="38">
        <f>L80+Podsumowanie!E$6</f>
        <v>0.0409</v>
      </c>
      <c r="N80" s="101">
        <f>MAX(Podsumowanie!E$4+SUM(AA$5:AA79)-SUM(X$5:X80)+SUM(W$5:W80),0)</f>
        <v>179231.90278718306</v>
      </c>
      <c r="O80" s="102">
        <f>MAX(Podsumowanie!E$2+SUM(V$5:V79)-SUM(S$5:S80)+SUM(R$5:R80),0)</f>
        <v>395311.3755407719</v>
      </c>
      <c r="P80" s="39">
        <f t="shared" si="56"/>
        <v>360</v>
      </c>
      <c r="Q80" s="40" t="str">
        <f>IF(AND(K80&gt;0,K80&lt;=Podsumowanie!E$9),"tak","nie")</f>
        <v>nie</v>
      </c>
      <c r="R80" s="41"/>
      <c r="S80" s="42"/>
      <c r="T80" s="88">
        <f t="shared" si="57"/>
        <v>-1347.3529383014643</v>
      </c>
      <c r="U80" s="89">
        <f>IF(Q80="tak",T80,IF(P80-SUM(AB$5:AB80)+1&gt;0,IF(Podsumowanie!E$7&lt;B80,IF(SUM(AB$5:AB80)-Podsumowanie!E$9+1&gt;0,PMT(M80/12,P80+1-SUM(AB$5:AB80),O80),T80),0),0))</f>
        <v>-1930.0002005489107</v>
      </c>
      <c r="V80" s="89">
        <f t="shared" si="83"/>
        <v>-582.6472622474464</v>
      </c>
      <c r="W80" s="90" t="str">
        <f>IF(R80&gt;0,R80/(C80*(1-Podsumowanie!E$11))," ")</f>
        <v xml:space="preserve"> </v>
      </c>
      <c r="X80" s="90" t="str">
        <f t="shared" si="105"/>
        <v xml:space="preserve"> </v>
      </c>
      <c r="Y80" s="91">
        <f t="shared" si="3"/>
        <v>-610.8820686663156</v>
      </c>
      <c r="Z80" s="90">
        <f>IF(P80-SUM(AB$5:AB80)+1&gt;0,IF(Podsumowanie!E$7&lt;B80,IF(SUM(AB$5:AB80)-Podsumowanie!E$9+1&gt;0,PMT(M80/12,P80+1-SUM(AB$5:AB80),N80),Y80),0),0)</f>
        <v>-875.0509844317614</v>
      </c>
      <c r="AA80" s="90">
        <f t="shared" si="79"/>
        <v>-264.16891576544583</v>
      </c>
      <c r="AB80" s="8">
        <f>IF(AND(Podsumowanie!E$7&lt;B80,SUM(AB$5:AB79)&lt;P79),1," ")</f>
        <v>1</v>
      </c>
      <c r="AD80" s="10">
        <f>Podsumowanie!E$4-SUM(AF$5:AF79)+SUM(W$42:W80)-SUM(X$42:X80)</f>
        <v>177316.3381355522</v>
      </c>
      <c r="AE80" s="10">
        <f t="shared" si="61"/>
        <v>604.35</v>
      </c>
      <c r="AF80" s="10">
        <f t="shared" si="62"/>
        <v>505.17</v>
      </c>
      <c r="AG80" s="10">
        <f t="shared" si="63"/>
        <v>1109.52</v>
      </c>
      <c r="AH80" s="10">
        <f t="shared" si="106"/>
        <v>2465.49</v>
      </c>
      <c r="AI80" s="10">
        <f>Podsumowanie!E$2-SUM(AK$5:AK79)+SUM(R$42:R80)-SUM(S$42:S80)</f>
        <v>391086.32</v>
      </c>
      <c r="AJ80" s="10">
        <f t="shared" si="65"/>
        <v>1332.95</v>
      </c>
      <c r="AK80" s="10">
        <f t="shared" si="66"/>
        <v>1114.21</v>
      </c>
      <c r="AL80" s="10">
        <f t="shared" si="67"/>
        <v>2447.16</v>
      </c>
      <c r="AM80" s="10">
        <f t="shared" si="68"/>
        <v>18.329999999999927</v>
      </c>
      <c r="AO80" s="43">
        <f t="shared" si="107"/>
        <v>39539</v>
      </c>
      <c r="AP80" s="11">
        <f>AP$5+SUM(AS$5:AS79)-SUM(X$5:X80)+SUM(W$5:W80)</f>
        <v>173854.94570356756</v>
      </c>
      <c r="AQ80" s="10">
        <f t="shared" si="70"/>
        <v>-592.555606606326</v>
      </c>
      <c r="AR80" s="10">
        <f>IF(AB80=1,IF(Q80="tak",AQ80,PMT(M80/12,P80+1-SUM(AB$5:AB80),AP80)),0)</f>
        <v>-848.7994548988086</v>
      </c>
      <c r="AS80" s="10">
        <f t="shared" si="71"/>
        <v>-256.24384829248254</v>
      </c>
      <c r="AT80" s="10">
        <f t="shared" si="72"/>
        <v>-1831.1999439986896</v>
      </c>
      <c r="AV80" s="11">
        <f>AV$5+SUM(AX$5:AX79)+SUM(W$5:W79)-SUM(X$5:X79)</f>
        <v>171996.80719148563</v>
      </c>
      <c r="AW80" s="11">
        <f t="shared" si="73"/>
        <v>-592.555606606326</v>
      </c>
      <c r="AX80" s="11">
        <f t="shared" si="74"/>
        <v>-490.02</v>
      </c>
      <c r="AY80" s="11">
        <f t="shared" si="75"/>
        <v>-1082.575606606326</v>
      </c>
      <c r="AZ80" s="11">
        <f t="shared" si="108"/>
        <v>-2335.5486136924874</v>
      </c>
      <c r="BB80" s="191">
        <f t="shared" si="86"/>
        <v>0.0629</v>
      </c>
      <c r="BC80" s="44">
        <f>BB80+Podsumowanie!$E$6</f>
        <v>0.0749</v>
      </c>
      <c r="BD80" s="11">
        <f>BD$5+SUM(BE$5:BE79)+SUM(R$5:R79)-SUM(S$5:S79)</f>
        <v>397128.834309094</v>
      </c>
      <c r="BE80" s="10">
        <f t="shared" si="80"/>
        <v>-312.2890975360351</v>
      </c>
      <c r="BF80" s="10">
        <f t="shared" si="78"/>
        <v>-2478.7458074792617</v>
      </c>
      <c r="BG80" s="10">
        <f>IF(U80&lt;0,PMT(BC80/12,Podsumowanie!E$8-SUM(AB$5:AB80)+1,BD80),0)</f>
        <v>-2791.0349050152968</v>
      </c>
      <c r="BI80" s="11">
        <f>BI$5+SUM(BK$5:BK79)+SUM(R$5:R79)-SUM(S$5:S79)</f>
        <v>391086.35097493033</v>
      </c>
      <c r="BJ80" s="11">
        <f t="shared" si="87"/>
        <v>-2441.0306406685236</v>
      </c>
      <c r="BK80" s="11">
        <f t="shared" si="88"/>
        <v>-1114.2061281337046</v>
      </c>
      <c r="BL80" s="11">
        <f t="shared" si="89"/>
        <v>-3555.236768802228</v>
      </c>
      <c r="BN80" s="44">
        <f t="shared" si="90"/>
        <v>0.075</v>
      </c>
      <c r="BO80" s="11">
        <f>BO$5+SUM(BP$5:BP79)+SUM(R$5:R79)-SUM(S$5:S79)+SUM(BS$5:BS79)</f>
        <v>401830.04208483495</v>
      </c>
      <c r="BP80" s="10">
        <f t="shared" si="99"/>
        <v>-315.37116790355503</v>
      </c>
      <c r="BQ80" s="10">
        <f t="shared" si="100"/>
        <v>-2511.4377630302183</v>
      </c>
      <c r="BR80" s="10">
        <f>IF(U80&lt;0,PMT(BN80/12,Podsumowanie!E$8-SUM(AB$5:AB80)+1,BO80),0)</f>
        <v>-2826.8089309337734</v>
      </c>
      <c r="BS80" s="10">
        <f t="shared" si="94"/>
        <v>882.3388873062986</v>
      </c>
      <c r="BU80" s="11">
        <f>BU$5+SUM(BW$5:BW79)+SUM(R$5:R79)-SUM(S$5:S79)+SUM(BY$5,BY79)</f>
        <v>392549.03157439426</v>
      </c>
      <c r="BV80" s="10">
        <f t="shared" si="91"/>
        <v>-2453.431447339964</v>
      </c>
      <c r="BW80" s="10">
        <f t="shared" si="92"/>
        <v>-1118.3733093287585</v>
      </c>
      <c r="BX80" s="10">
        <f t="shared" si="101"/>
        <v>-3571.804756668723</v>
      </c>
      <c r="BY80" s="10">
        <f t="shared" si="102"/>
        <v>1627.334713041248</v>
      </c>
      <c r="CA80" s="10">
        <f>CA$5+SUM(CB$5:CB79)+SUM(R$5:R79)-SUM(S$5:S79)-SUM(CC$5:CC79)</f>
        <v>401680.25710609247</v>
      </c>
      <c r="CB80" s="10">
        <f t="shared" si="95"/>
        <v>2453.431447339964</v>
      </c>
      <c r="CC80" s="10">
        <f t="shared" si="96"/>
        <v>1944.4700436274748</v>
      </c>
      <c r="CD80" s="10">
        <f t="shared" si="97"/>
        <v>-508.9614037124893</v>
      </c>
      <c r="CF80" s="44">
        <f t="shared" si="93"/>
        <v>0.7017</v>
      </c>
      <c r="CG80" s="10">
        <f t="shared" si="98"/>
        <v>-1364.43</v>
      </c>
      <c r="CH80" s="4">
        <f t="shared" si="103"/>
        <v>0</v>
      </c>
    </row>
    <row r="81" spans="1:86" ht="15.75">
      <c r="A81" s="36"/>
      <c r="B81" s="37">
        <v>39569</v>
      </c>
      <c r="C81" s="77">
        <f t="shared" si="84"/>
        <v>2.0984</v>
      </c>
      <c r="D81" s="78">
        <f>C81*(1+Podsumowanie!E$11)</f>
        <v>2.161352</v>
      </c>
      <c r="E81" s="34">
        <f t="shared" si="51"/>
        <v>-875.0509844317614</v>
      </c>
      <c r="F81" s="7">
        <f t="shared" si="81"/>
        <v>-1891.2931953035563</v>
      </c>
      <c r="G81" s="7">
        <f t="shared" si="53"/>
        <v>-1930.0002005489112</v>
      </c>
      <c r="H81" s="7">
        <f t="shared" si="82"/>
        <v>-38.70700524535482</v>
      </c>
      <c r="I81" s="32"/>
      <c r="J81" s="4" t="str">
        <f t="shared" si="104"/>
        <v>Ze względu na spadek kursu CHF, rata jest korzystniejsza niż bez klauzuli indeksacyjnej</v>
      </c>
      <c r="K81" s="4">
        <f>IF(B81&lt;Podsumowanie!E$7,0,K80+1)</f>
        <v>11</v>
      </c>
      <c r="L81" s="100">
        <f t="shared" si="85"/>
        <v>0.0289</v>
      </c>
      <c r="M81" s="38">
        <f>L81+Podsumowanie!E$6</f>
        <v>0.0409</v>
      </c>
      <c r="N81" s="101">
        <f>MAX(Podsumowanie!E$4+SUM(AA$5:AA80)-SUM(X$5:X81)+SUM(W$5:W81),0)</f>
        <v>178967.73387141761</v>
      </c>
      <c r="O81" s="102">
        <f>MAX(Podsumowanie!E$2+SUM(V$5:V80)-SUM(S$5:S81)+SUM(R$5:R81),0)</f>
        <v>394728.7282785245</v>
      </c>
      <c r="P81" s="39">
        <f t="shared" si="56"/>
        <v>360</v>
      </c>
      <c r="Q81" s="40" t="str">
        <f>IF(AND(K81&gt;0,K81&lt;=Podsumowanie!E$9),"tak","nie")</f>
        <v>nie</v>
      </c>
      <c r="R81" s="41"/>
      <c r="S81" s="42"/>
      <c r="T81" s="88">
        <f t="shared" si="57"/>
        <v>-1345.3670822159709</v>
      </c>
      <c r="U81" s="89">
        <f>IF(Q81="tak",T81,IF(P81-SUM(AB$5:AB81)+1&gt;0,IF(Podsumowanie!E$7&lt;B81,IF(SUM(AB$5:AB81)-Podsumowanie!E$9+1&gt;0,PMT(M81/12,P81+1-SUM(AB$5:AB81),O81),T81),0),0))</f>
        <v>-1930.0002005489112</v>
      </c>
      <c r="V81" s="89">
        <f t="shared" si="83"/>
        <v>-584.6331183329403</v>
      </c>
      <c r="W81" s="90" t="str">
        <f>IF(R81&gt;0,R81/(C81*(1-Podsumowanie!E$11))," ")</f>
        <v xml:space="preserve"> </v>
      </c>
      <c r="X81" s="90" t="str">
        <f t="shared" si="105"/>
        <v xml:space="preserve"> </v>
      </c>
      <c r="Y81" s="91">
        <f t="shared" si="3"/>
        <v>-609.9816929450817</v>
      </c>
      <c r="Z81" s="90">
        <f>IF(P81-SUM(AB$5:AB81)+1&gt;0,IF(Podsumowanie!E$7&lt;B81,IF(SUM(AB$5:AB81)-Podsumowanie!E$9+1&gt;0,PMT(M81/12,P81+1-SUM(AB$5:AB81),N81),Y81),0),0)</f>
        <v>-875.0509844317614</v>
      </c>
      <c r="AA81" s="90">
        <f t="shared" si="79"/>
        <v>-265.06929148667973</v>
      </c>
      <c r="AB81" s="8">
        <f>IF(AND(Podsumowanie!E$7&lt;B81,SUM(AB$5:AB80)&lt;P80),1," ")</f>
        <v>1</v>
      </c>
      <c r="AD81" s="10">
        <f>Podsumowanie!E$4-SUM(AF$5:AF80)+SUM(W$42:W81)-SUM(X$42:X81)</f>
        <v>176811.1681355522</v>
      </c>
      <c r="AE81" s="10">
        <f t="shared" si="61"/>
        <v>602.63</v>
      </c>
      <c r="AF81" s="10">
        <f t="shared" si="62"/>
        <v>505.17</v>
      </c>
      <c r="AG81" s="10">
        <f t="shared" si="63"/>
        <v>1107.8</v>
      </c>
      <c r="AH81" s="10">
        <f t="shared" si="106"/>
        <v>2394.35</v>
      </c>
      <c r="AI81" s="10">
        <f>Podsumowanie!E$2-SUM(AK$5:AK80)+SUM(R$42:R81)-SUM(S$42:S81)</f>
        <v>389972.11</v>
      </c>
      <c r="AJ81" s="10">
        <f t="shared" si="65"/>
        <v>1329.15</v>
      </c>
      <c r="AK81" s="10">
        <f t="shared" si="66"/>
        <v>1114.21</v>
      </c>
      <c r="AL81" s="10">
        <f t="shared" si="67"/>
        <v>2443.36</v>
      </c>
      <c r="AM81" s="10">
        <f t="shared" si="68"/>
        <v>-49.01000000000022</v>
      </c>
      <c r="AO81" s="43">
        <f t="shared" si="107"/>
        <v>39569</v>
      </c>
      <c r="AP81" s="11">
        <f>AP$5+SUM(AS$5:AS80)-SUM(X$5:X81)+SUM(W$5:W81)</f>
        <v>173598.70185527508</v>
      </c>
      <c r="AQ81" s="10">
        <f t="shared" si="70"/>
        <v>-591.6822421567292</v>
      </c>
      <c r="AR81" s="10">
        <f>IF(AB81=1,IF(Q81="tak",AQ81,PMT(M81/12,P81+1-SUM(AB$5:AB81),AP81)),0)</f>
        <v>-848.7994548988086</v>
      </c>
      <c r="AS81" s="10">
        <f t="shared" si="71"/>
        <v>-257.11721274207935</v>
      </c>
      <c r="AT81" s="10">
        <f t="shared" si="72"/>
        <v>-1781.1207761596597</v>
      </c>
      <c r="AV81" s="11">
        <f>AV$5+SUM(AX$5:AX80)+SUM(W$5:W80)-SUM(X$5:X80)</f>
        <v>171506.78719148564</v>
      </c>
      <c r="AW81" s="11">
        <f t="shared" si="73"/>
        <v>-591.6822421567292</v>
      </c>
      <c r="AX81" s="11">
        <f t="shared" si="74"/>
        <v>-490.02</v>
      </c>
      <c r="AY81" s="11">
        <f t="shared" si="75"/>
        <v>-1081.7022421567292</v>
      </c>
      <c r="AZ81" s="11">
        <f t="shared" si="108"/>
        <v>-2269.8439849416804</v>
      </c>
      <c r="BB81" s="191">
        <f t="shared" si="86"/>
        <v>0.0641</v>
      </c>
      <c r="BC81" s="44">
        <f>BB81+Podsumowanie!$E$6</f>
        <v>0.0761</v>
      </c>
      <c r="BD81" s="11">
        <f>BD$5+SUM(BE$5:BE80)+SUM(R$5:R80)-SUM(S$5:S80)</f>
        <v>396816.54521155794</v>
      </c>
      <c r="BE81" s="10">
        <f t="shared" si="80"/>
        <v>-306.9932555421401</v>
      </c>
      <c r="BF81" s="10">
        <f t="shared" si="78"/>
        <v>-2516.4782575499635</v>
      </c>
      <c r="BG81" s="10">
        <f>IF(U81&lt;0,PMT(BC81/12,Podsumowanie!E$8-SUM(AB$5:AB81)+1,BD81),0)</f>
        <v>-2823.4715130921036</v>
      </c>
      <c r="BI81" s="11">
        <f>BI$5+SUM(BK$5:BK80)+SUM(R$5:R80)-SUM(S$5:S80)</f>
        <v>389972.14484679664</v>
      </c>
      <c r="BJ81" s="11">
        <f t="shared" si="87"/>
        <v>-2473.073351903435</v>
      </c>
      <c r="BK81" s="11">
        <f t="shared" si="88"/>
        <v>-1114.2061281337046</v>
      </c>
      <c r="BL81" s="11">
        <f t="shared" si="89"/>
        <v>-3587.27948003714</v>
      </c>
      <c r="BN81" s="44">
        <f t="shared" si="90"/>
        <v>0.0762</v>
      </c>
      <c r="BO81" s="11">
        <f>BO$5+SUM(BP$5:BP80)+SUM(R$5:R80)-SUM(S$5:S80)+SUM(BS$5:BS80)</f>
        <v>402397.00980423763</v>
      </c>
      <c r="BP81" s="10">
        <f t="shared" si="99"/>
        <v>-310.704883783837</v>
      </c>
      <c r="BQ81" s="10">
        <f t="shared" si="100"/>
        <v>-2555.221012256909</v>
      </c>
      <c r="BR81" s="10">
        <f>IF(U81&lt;0,PMT(BN81/12,Podsumowanie!E$8-SUM(AB$5:AB81)+1,BO81),0)</f>
        <v>-2865.925896040746</v>
      </c>
      <c r="BS81" s="10">
        <f t="shared" si="94"/>
        <v>974.6327007371897</v>
      </c>
      <c r="BU81" s="11">
        <f>BU$5+SUM(BW$5:BW80)+SUM(R$5:R80)-SUM(S$5:S80)+SUM(BY$5,BY80)</f>
        <v>391569.7784358027</v>
      </c>
      <c r="BV81" s="10">
        <f t="shared" si="91"/>
        <v>-2486.4680930673476</v>
      </c>
      <c r="BW81" s="10">
        <f t="shared" si="92"/>
        <v>-1118.770795530865</v>
      </c>
      <c r="BX81" s="10">
        <f t="shared" si="101"/>
        <v>-3605.2388885982127</v>
      </c>
      <c r="BY81" s="10">
        <f t="shared" si="102"/>
        <v>1713.9456932946564</v>
      </c>
      <c r="CA81" s="10">
        <f>CA$5+SUM(CB$5:CB80)+SUM(R$5:R80)-SUM(S$5:S80)-SUM(CC$5:CC80)</f>
        <v>402189.2185098049</v>
      </c>
      <c r="CB81" s="10">
        <f t="shared" si="95"/>
        <v>2486.4680930673476</v>
      </c>
      <c r="CC81" s="10">
        <f t="shared" si="96"/>
        <v>1891.2931953035563</v>
      </c>
      <c r="CD81" s="10">
        <f t="shared" si="97"/>
        <v>-595.1748977637913</v>
      </c>
      <c r="CF81" s="44">
        <f t="shared" si="93"/>
        <v>0.6882</v>
      </c>
      <c r="CG81" s="10">
        <f t="shared" si="98"/>
        <v>-1301.59</v>
      </c>
      <c r="CH81" s="4">
        <f t="shared" si="103"/>
        <v>0</v>
      </c>
    </row>
    <row r="82" spans="1:86" ht="15.75">
      <c r="A82" s="36"/>
      <c r="B82" s="37">
        <v>39600</v>
      </c>
      <c r="C82" s="77">
        <f t="shared" si="84"/>
        <v>2.0909</v>
      </c>
      <c r="D82" s="78">
        <f>C82*(1+Podsumowanie!E$11)</f>
        <v>2.153627</v>
      </c>
      <c r="E82" s="34">
        <f t="shared" si="51"/>
        <v>-863.7725567755746</v>
      </c>
      <c r="F82" s="7">
        <f t="shared" si="81"/>
        <v>-1860.2439001309106</v>
      </c>
      <c r="G82" s="7">
        <f t="shared" si="53"/>
        <v>-1905.124658408412</v>
      </c>
      <c r="H82" s="7">
        <f t="shared" si="82"/>
        <v>-44.8807582775014</v>
      </c>
      <c r="I82" s="32"/>
      <c r="J82" s="4" t="str">
        <f t="shared" si="104"/>
        <v>Ze względu na spadek kursu CHF, rata jest korzystniejsza niż bez klauzuli indeksacyjnej</v>
      </c>
      <c r="K82" s="4">
        <f>IF(B82&lt;Podsumowanie!E$7,0,K81+1)</f>
        <v>12</v>
      </c>
      <c r="L82" s="100">
        <f t="shared" si="85"/>
        <v>0.0278</v>
      </c>
      <c r="M82" s="38">
        <f>L82+Podsumowanie!E$6</f>
        <v>0.0398</v>
      </c>
      <c r="N82" s="101">
        <f>MAX(Podsumowanie!E$4+SUM(AA$5:AA81)-SUM(X$5:X82)+SUM(W$5:W82),0)</f>
        <v>178702.66457993095</v>
      </c>
      <c r="O82" s="102">
        <f>MAX(Podsumowanie!E$2+SUM(V$5:V81)-SUM(S$5:S82)+SUM(R$5:R82),0)</f>
        <v>394144.09516019153</v>
      </c>
      <c r="P82" s="39">
        <f t="shared" si="56"/>
        <v>360</v>
      </c>
      <c r="Q82" s="40" t="str">
        <f>IF(AND(K82&gt;0,K82&lt;=Podsumowanie!E$9),"tak","nie")</f>
        <v>nie</v>
      </c>
      <c r="R82" s="41"/>
      <c r="S82" s="42"/>
      <c r="T82" s="88">
        <f t="shared" si="57"/>
        <v>-1307.244582281302</v>
      </c>
      <c r="U82" s="89">
        <f>IF(Q82="tak",T82,IF(P82-SUM(AB$5:AB82)+1&gt;0,IF(Podsumowanie!E$7&lt;B82,IF(SUM(AB$5:AB82)-Podsumowanie!E$9+1&gt;0,PMT(M82/12,P82+1-SUM(AB$5:AB82),O82),T82),0),0))</f>
        <v>-1905.124658408412</v>
      </c>
      <c r="V82" s="89">
        <f t="shared" si="83"/>
        <v>-597.88007612711</v>
      </c>
      <c r="W82" s="90" t="str">
        <f>IF(R82&gt;0,R82/(C82*(1-Podsumowanie!E$11))," ")</f>
        <v xml:space="preserve"> </v>
      </c>
      <c r="X82" s="90" t="str">
        <f t="shared" si="105"/>
        <v xml:space="preserve"> </v>
      </c>
      <c r="Y82" s="91">
        <f>IF(AB82=1,-N82*M82/12,0)</f>
        <v>-592.697170856771</v>
      </c>
      <c r="Z82" s="90">
        <f>IF(P82-SUM(AB$5:AB82)+1&gt;0,IF(Podsumowanie!E$7&lt;B82,IF(SUM(AB$5:AB82)-Podsumowanie!E$9+1&gt;0,PMT(M82/12,P82+1-SUM(AB$5:AB82),N82),Y82),0),0)</f>
        <v>-863.7725567755746</v>
      </c>
      <c r="AA82" s="90">
        <f t="shared" si="79"/>
        <v>-271.0753859188036</v>
      </c>
      <c r="AB82" s="8">
        <f>IF(AND(Podsumowanie!E$7&lt;B82,SUM(AB$5:AB81)&lt;P81),1," ")</f>
        <v>1</v>
      </c>
      <c r="AD82" s="10">
        <f>Podsumowanie!E$4-SUM(AF$5:AF81)+SUM(W$42:W82)-SUM(X$42:X82)</f>
        <v>176305.9981355522</v>
      </c>
      <c r="AE82" s="10">
        <f t="shared" si="61"/>
        <v>584.75</v>
      </c>
      <c r="AF82" s="10">
        <f t="shared" si="62"/>
        <v>505.17</v>
      </c>
      <c r="AG82" s="10">
        <f t="shared" si="63"/>
        <v>1089.92</v>
      </c>
      <c r="AH82" s="10">
        <f t="shared" si="106"/>
        <v>2347.28</v>
      </c>
      <c r="AI82" s="10">
        <f>Podsumowanie!E$2-SUM(AK$5:AK81)+SUM(R$42:R82)-SUM(S$42:S82)</f>
        <v>388857.9</v>
      </c>
      <c r="AJ82" s="10">
        <f t="shared" si="65"/>
        <v>1289.71</v>
      </c>
      <c r="AK82" s="10">
        <f t="shared" si="66"/>
        <v>1114.21</v>
      </c>
      <c r="AL82" s="10">
        <f t="shared" si="67"/>
        <v>2403.92</v>
      </c>
      <c r="AM82" s="10">
        <f t="shared" si="68"/>
        <v>-56.63999999999987</v>
      </c>
      <c r="AO82" s="43">
        <f t="shared" si="107"/>
        <v>39600</v>
      </c>
      <c r="AP82" s="11">
        <f>AP$5+SUM(AS$5:AS81)-SUM(X$5:X82)+SUM(W$5:W82)</f>
        <v>173341.584642533</v>
      </c>
      <c r="AQ82" s="10">
        <f t="shared" si="70"/>
        <v>-574.9162557310678</v>
      </c>
      <c r="AR82" s="10">
        <f>IF(AB82=1,IF(Q82="tak",AQ82,PMT(M82/12,P82+1-SUM(AB$5:AB82),AP82)),0)</f>
        <v>-837.8593800723073</v>
      </c>
      <c r="AS82" s="10">
        <f t="shared" si="71"/>
        <v>-262.94312434123947</v>
      </c>
      <c r="AT82" s="10">
        <f t="shared" si="72"/>
        <v>-1751.8801777931874</v>
      </c>
      <c r="AV82" s="11">
        <f>AV$5+SUM(AX$5:AX81)+SUM(W$5:W81)-SUM(X$5:X81)</f>
        <v>171016.76719148562</v>
      </c>
      <c r="AW82" s="11">
        <f t="shared" si="73"/>
        <v>-574.9162557310678</v>
      </c>
      <c r="AX82" s="11">
        <f t="shared" si="74"/>
        <v>-490.02</v>
      </c>
      <c r="AY82" s="11">
        <f t="shared" si="75"/>
        <v>-1064.9362557310678</v>
      </c>
      <c r="AZ82" s="11">
        <f t="shared" si="108"/>
        <v>-2226.67521710809</v>
      </c>
      <c r="BB82" s="191">
        <f t="shared" si="86"/>
        <v>0.0658</v>
      </c>
      <c r="BC82" s="44">
        <f>BB82+Podsumowanie!$E$6</f>
        <v>0.0778</v>
      </c>
      <c r="BD82" s="11">
        <f>BD$5+SUM(BE$5:BE81)+SUM(R$5:R81)-SUM(S$5:S81)</f>
        <v>396509.5519560158</v>
      </c>
      <c r="BE82" s="10">
        <f t="shared" si="80"/>
        <v>-298.89255465544557</v>
      </c>
      <c r="BF82" s="10">
        <f t="shared" si="78"/>
        <v>-2570.7035951815024</v>
      </c>
      <c r="BG82" s="10">
        <f>IF(U82&lt;0,PMT(BC82/12,Podsumowanie!E$8-SUM(AB$5:AB82)+1,BD82),0)</f>
        <v>-2869.596149836948</v>
      </c>
      <c r="BI82" s="11">
        <f>BI$5+SUM(BK$5:BK81)+SUM(R$5:R81)-SUM(S$5:S81)</f>
        <v>388857.93871866295</v>
      </c>
      <c r="BJ82" s="11">
        <f t="shared" si="87"/>
        <v>-2521.095636025998</v>
      </c>
      <c r="BK82" s="11">
        <f t="shared" si="88"/>
        <v>-1114.2061281337046</v>
      </c>
      <c r="BL82" s="11">
        <f t="shared" si="89"/>
        <v>-3635.3017641597025</v>
      </c>
      <c r="BN82" s="44">
        <f t="shared" si="90"/>
        <v>0.0779</v>
      </c>
      <c r="BO82" s="11">
        <f>BO$5+SUM(BP$5:BP81)+SUM(R$5:R81)-SUM(S$5:S81)+SUM(BS$5:BS81)</f>
        <v>403060.937621191</v>
      </c>
      <c r="BP82" s="10">
        <f t="shared" si="99"/>
        <v>-303.23923750240874</v>
      </c>
      <c r="BQ82" s="10">
        <f t="shared" si="100"/>
        <v>-2616.537253390898</v>
      </c>
      <c r="BR82" s="10">
        <f>IF(U82&lt;0,PMT(BN82/12,Podsumowanie!E$8-SUM(AB$5:AB82)+1,BO82),0)</f>
        <v>-2919.776490893307</v>
      </c>
      <c r="BS82" s="10">
        <f t="shared" si="94"/>
        <v>1059.5325907623962</v>
      </c>
      <c r="BU82" s="11">
        <f>BU$5+SUM(BW$5:BW81)+SUM(R$5:R81)-SUM(S$5:S81)+SUM(BY$5,BY81)</f>
        <v>390537.61862052523</v>
      </c>
      <c r="BV82" s="10">
        <f t="shared" si="91"/>
        <v>-2535.240040878243</v>
      </c>
      <c r="BW82" s="10">
        <f t="shared" si="92"/>
        <v>-1119.0189645287255</v>
      </c>
      <c r="BX82" s="10">
        <f t="shared" si="101"/>
        <v>-3654.2590054069683</v>
      </c>
      <c r="BY82" s="10">
        <f t="shared" si="102"/>
        <v>1794.0151052760577</v>
      </c>
      <c r="CA82" s="10">
        <f>CA$5+SUM(CB$5:CB81)+SUM(R$5:R81)-SUM(S$5:S81)-SUM(CC$5:CC81)</f>
        <v>402784.39340756874</v>
      </c>
      <c r="CB82" s="10">
        <f t="shared" si="95"/>
        <v>2535.240040878243</v>
      </c>
      <c r="CC82" s="10">
        <f t="shared" si="96"/>
        <v>1860.2439001309106</v>
      </c>
      <c r="CD82" s="10">
        <f t="shared" si="97"/>
        <v>-674.9961407473322</v>
      </c>
      <c r="CF82" s="44">
        <f t="shared" si="93"/>
        <v>0.6848</v>
      </c>
      <c r="CG82" s="10">
        <f t="shared" si="98"/>
        <v>-1273.9</v>
      </c>
      <c r="CH82" s="4">
        <f t="shared" si="103"/>
        <v>0</v>
      </c>
    </row>
    <row r="83" spans="1:86" ht="15.75">
      <c r="A83" s="36"/>
      <c r="B83" s="37">
        <v>39630</v>
      </c>
      <c r="C83" s="77">
        <f t="shared" si="84"/>
        <v>2.0139</v>
      </c>
      <c r="D83" s="78">
        <f>C83*(1+Podsumowanie!E$11)</f>
        <v>2.074317</v>
      </c>
      <c r="E83" s="34">
        <f t="shared" si="51"/>
        <v>-863.7725567755743</v>
      </c>
      <c r="F83" s="7">
        <f t="shared" si="81"/>
        <v>-1791.7380986530393</v>
      </c>
      <c r="G83" s="7">
        <f t="shared" si="53"/>
        <v>-1905.1246584084117</v>
      </c>
      <c r="H83" s="7">
        <f t="shared" si="82"/>
        <v>-113.38655975537245</v>
      </c>
      <c r="I83" s="32"/>
      <c r="J83" s="4" t="str">
        <f t="shared" si="104"/>
        <v>Ze względu na spadek kursu CHF, rata jest korzystniejsza niż bez klauzuli indeksacyjnej</v>
      </c>
      <c r="K83" s="4">
        <f>IF(B83&lt;Podsumowanie!E$7,0,K82+1)</f>
        <v>13</v>
      </c>
      <c r="L83" s="100">
        <f t="shared" si="85"/>
        <v>0.0278</v>
      </c>
      <c r="M83" s="38">
        <f>L83+Podsumowanie!E$6</f>
        <v>0.0398</v>
      </c>
      <c r="N83" s="101">
        <f>MAX(Podsumowanie!E$4+SUM(AA$5:AA82)-SUM(X$5:X83)+SUM(W$5:W83),0)</f>
        <v>178431.58919401214</v>
      </c>
      <c r="O83" s="102">
        <f>MAX(Podsumowanie!E$2+SUM(V$5:V82)-SUM(S$5:S83)+SUM(R$5:R83),0)</f>
        <v>393546.2150840644</v>
      </c>
      <c r="P83" s="39">
        <f t="shared" si="56"/>
        <v>360</v>
      </c>
      <c r="Q83" s="40" t="str">
        <f>IF(AND(K83&gt;0,K83&lt;=Podsumowanie!E$9),"tak","nie")</f>
        <v>nie</v>
      </c>
      <c r="R83" s="41"/>
      <c r="S83" s="42"/>
      <c r="T83" s="88">
        <f t="shared" si="57"/>
        <v>-1305.261613362147</v>
      </c>
      <c r="U83" s="89">
        <f>IF(Q83="tak",T83,IF(P83-SUM(AB$5:AB83)+1&gt;0,IF(Podsumowanie!E$7&lt;B83,IF(SUM(AB$5:AB83)-Podsumowanie!E$9+1&gt;0,PMT(M83/12,P83+1-SUM(AB$5:AB83),O83),T83),0),0))</f>
        <v>-1905.1246584084117</v>
      </c>
      <c r="V83" s="89">
        <f t="shared" si="83"/>
        <v>-599.8630450462647</v>
      </c>
      <c r="W83" s="90" t="str">
        <f>IF(R83&gt;0,R83/(C83*(1-Podsumowanie!E$11))," ")</f>
        <v xml:space="preserve"> </v>
      </c>
      <c r="X83" s="90" t="str">
        <f t="shared" si="105"/>
        <v xml:space="preserve"> </v>
      </c>
      <c r="Y83" s="91">
        <f aca="true" t="shared" si="109" ref="Y83:Y146">IF(AB83=1,-N83*M83/12,0)</f>
        <v>-591.7981041601403</v>
      </c>
      <c r="Z83" s="90">
        <f>IF(P83-SUM(AB$5:AB83)+1&gt;0,IF(Podsumowanie!E$7&lt;B83,IF(SUM(AB$5:AB83)-Podsumowanie!E$9+1&gt;0,PMT(M83/12,P83+1-SUM(AB$5:AB83),N83),Y83),0),0)</f>
        <v>-863.7725567755743</v>
      </c>
      <c r="AA83" s="90">
        <f t="shared" si="79"/>
        <v>-271.9744526154341</v>
      </c>
      <c r="AB83" s="8">
        <f>IF(AND(Podsumowanie!E$7&lt;B83,SUM(AB$5:AB82)&lt;P82),1," ")</f>
        <v>1</v>
      </c>
      <c r="AD83" s="10">
        <f>Podsumowanie!E$4-SUM(AF$5:AF82)+SUM(W$42:W83)-SUM(X$42:X83)</f>
        <v>175800.8281355522</v>
      </c>
      <c r="AE83" s="10">
        <f t="shared" si="61"/>
        <v>583.07</v>
      </c>
      <c r="AF83" s="10">
        <f t="shared" si="62"/>
        <v>505.17</v>
      </c>
      <c r="AG83" s="10">
        <f t="shared" si="63"/>
        <v>1088.24</v>
      </c>
      <c r="AH83" s="10">
        <f t="shared" si="106"/>
        <v>2257.35</v>
      </c>
      <c r="AI83" s="10">
        <f>Podsumowanie!E$2-SUM(AK$5:AK82)+SUM(R$42:R83)-SUM(S$42:S83)</f>
        <v>387743.69</v>
      </c>
      <c r="AJ83" s="10">
        <f t="shared" si="65"/>
        <v>1286.02</v>
      </c>
      <c r="AK83" s="10">
        <f t="shared" si="66"/>
        <v>1114.21</v>
      </c>
      <c r="AL83" s="10">
        <f t="shared" si="67"/>
        <v>2400.23</v>
      </c>
      <c r="AM83" s="10">
        <f t="shared" si="68"/>
        <v>-142.8800000000001</v>
      </c>
      <c r="AO83" s="43">
        <f t="shared" si="107"/>
        <v>39630</v>
      </c>
      <c r="AP83" s="11">
        <f>AP$5+SUM(AS$5:AS82)-SUM(X$5:X83)+SUM(W$5:W83)</f>
        <v>173078.64151819175</v>
      </c>
      <c r="AQ83" s="10">
        <f t="shared" si="70"/>
        <v>-574.0441610353361</v>
      </c>
      <c r="AR83" s="10">
        <f>IF(AB83=1,IF(Q83="tak",AQ83,PMT(M83/12,P83+1-SUM(AB$5:AB83),AP83)),0)</f>
        <v>-837.8593800723071</v>
      </c>
      <c r="AS83" s="10">
        <f t="shared" si="71"/>
        <v>-263.81521903697103</v>
      </c>
      <c r="AT83" s="10">
        <f t="shared" si="72"/>
        <v>-1687.3650055276194</v>
      </c>
      <c r="AV83" s="11">
        <f>AV$5+SUM(AX$5:AX82)+SUM(W$5:W82)-SUM(X$5:X82)</f>
        <v>170526.74719148563</v>
      </c>
      <c r="AW83" s="11">
        <f t="shared" si="73"/>
        <v>-574.0441610353361</v>
      </c>
      <c r="AX83" s="11">
        <f t="shared" si="74"/>
        <v>-490.02</v>
      </c>
      <c r="AY83" s="11">
        <f t="shared" si="75"/>
        <v>-1064.064161035336</v>
      </c>
      <c r="AZ83" s="11">
        <f t="shared" si="108"/>
        <v>-2142.918813909063</v>
      </c>
      <c r="BB83" s="191">
        <f t="shared" si="86"/>
        <v>0.0662</v>
      </c>
      <c r="BC83" s="44">
        <f>BB83+Podsumowanie!$E$6</f>
        <v>0.07819999999999999</v>
      </c>
      <c r="BD83" s="11">
        <f>BD$5+SUM(BE$5:BE82)+SUM(R$5:R82)-SUM(S$5:S82)</f>
        <v>396210.6594013604</v>
      </c>
      <c r="BE83" s="10">
        <f t="shared" si="80"/>
        <v>-298.50052273520214</v>
      </c>
      <c r="BF83" s="10">
        <f t="shared" si="78"/>
        <v>-2581.9727970988647</v>
      </c>
      <c r="BG83" s="10">
        <f>IF(U83&lt;0,PMT(BC83/12,Podsumowanie!E$8-SUM(AB$5:AB83)+1,BD83),0)</f>
        <v>-2880.473319834067</v>
      </c>
      <c r="BI83" s="11">
        <f>BI$5+SUM(BK$5:BK82)+SUM(R$5:R82)-SUM(S$5:S82)</f>
        <v>387743.73259052925</v>
      </c>
      <c r="BJ83" s="11">
        <f t="shared" si="87"/>
        <v>-2526.796657381615</v>
      </c>
      <c r="BK83" s="11">
        <f t="shared" si="88"/>
        <v>-1114.2061281337049</v>
      </c>
      <c r="BL83" s="11">
        <f t="shared" si="89"/>
        <v>-3641.0027855153203</v>
      </c>
      <c r="BN83" s="44">
        <f t="shared" si="90"/>
        <v>0.0783</v>
      </c>
      <c r="BO83" s="11">
        <f>BO$5+SUM(BP$5:BP82)+SUM(R$5:R82)-SUM(S$5:S82)+SUM(BS$5:BS82)</f>
        <v>403817.23097445106</v>
      </c>
      <c r="BP83" s="10">
        <f t="shared" si="99"/>
        <v>-303.6400555981031</v>
      </c>
      <c r="BQ83" s="10">
        <f t="shared" si="100"/>
        <v>-2634.907432108293</v>
      </c>
      <c r="BR83" s="10">
        <f>IF(U83&lt;0,PMT(BN83/12,Podsumowanie!E$8-SUM(AB$5:AB83)+1,BO83),0)</f>
        <v>-2938.547487706396</v>
      </c>
      <c r="BS83" s="10">
        <f t="shared" si="94"/>
        <v>1146.8093890533569</v>
      </c>
      <c r="BU83" s="11">
        <f>BU$5+SUM(BW$5:BW82)+SUM(R$5:R82)-SUM(S$5:S82)+SUM(BY$5,BY82)</f>
        <v>389498.669067978</v>
      </c>
      <c r="BV83" s="10">
        <f t="shared" si="91"/>
        <v>-2541.4788156685563</v>
      </c>
      <c r="BW83" s="10">
        <f t="shared" si="92"/>
        <v>-1119.2490490459138</v>
      </c>
      <c r="BX83" s="10">
        <f t="shared" si="101"/>
        <v>-3660.7278647144703</v>
      </c>
      <c r="BY83" s="10">
        <f t="shared" si="102"/>
        <v>1868.989766061431</v>
      </c>
      <c r="CA83" s="10">
        <f>CA$5+SUM(CB$5:CB82)+SUM(R$5:R82)-SUM(S$5:S82)-SUM(CC$5:CC82)</f>
        <v>403459.3895483161</v>
      </c>
      <c r="CB83" s="10">
        <f t="shared" si="95"/>
        <v>2541.4788156685563</v>
      </c>
      <c r="CC83" s="10">
        <f t="shared" si="96"/>
        <v>1791.7380986530393</v>
      </c>
      <c r="CD83" s="10">
        <f t="shared" si="97"/>
        <v>-749.740717015517</v>
      </c>
      <c r="CF83" s="44">
        <f t="shared" si="93"/>
        <v>0.6848</v>
      </c>
      <c r="CG83" s="10">
        <f t="shared" si="98"/>
        <v>-1226.98</v>
      </c>
      <c r="CH83" s="4">
        <f t="shared" si="103"/>
        <v>0</v>
      </c>
    </row>
    <row r="84" spans="1:86" ht="15.75">
      <c r="A84" s="36"/>
      <c r="B84" s="37">
        <v>39661</v>
      </c>
      <c r="C84" s="77">
        <f t="shared" si="84"/>
        <v>2.0279</v>
      </c>
      <c r="D84" s="78">
        <f>C84*(1+Podsumowanie!E$11)</f>
        <v>2.088737</v>
      </c>
      <c r="E84" s="34">
        <f t="shared" si="51"/>
        <v>-863.7725567755743</v>
      </c>
      <c r="F84" s="7">
        <f t="shared" si="81"/>
        <v>-1804.193698921743</v>
      </c>
      <c r="G84" s="7">
        <f t="shared" si="53"/>
        <v>-1905.1246584084117</v>
      </c>
      <c r="H84" s="7">
        <f t="shared" si="82"/>
        <v>-100.93095948666883</v>
      </c>
      <c r="I84" s="32"/>
      <c r="J84" s="4" t="str">
        <f t="shared" si="104"/>
        <v>Ze względu na spadek kursu CHF, rata jest korzystniejsza niż bez klauzuli indeksacyjnej</v>
      </c>
      <c r="K84" s="4">
        <f>IF(B84&lt;Podsumowanie!E$7,0,K83+1)</f>
        <v>14</v>
      </c>
      <c r="L84" s="100">
        <f t="shared" si="85"/>
        <v>0.0278</v>
      </c>
      <c r="M84" s="38">
        <f>L84+Podsumowanie!E$6</f>
        <v>0.0398</v>
      </c>
      <c r="N84" s="101">
        <f>MAX(Podsumowanie!E$4+SUM(AA$5:AA83)-SUM(X$5:X84)+SUM(W$5:W84),0)</f>
        <v>178159.61474139668</v>
      </c>
      <c r="O84" s="102">
        <f>MAX(Podsumowanie!E$2+SUM(V$5:V83)-SUM(S$5:S84)+SUM(R$5:R84),0)</f>
        <v>392946.3520390181</v>
      </c>
      <c r="P84" s="39">
        <f t="shared" si="56"/>
        <v>360</v>
      </c>
      <c r="Q84" s="40" t="str">
        <f>IF(AND(K84&gt;0,K84&lt;=Podsumowanie!E$9),"tak","nie")</f>
        <v>nie</v>
      </c>
      <c r="R84" s="41"/>
      <c r="S84" s="42"/>
      <c r="T84" s="88">
        <f t="shared" si="57"/>
        <v>-1303.2720675960768</v>
      </c>
      <c r="U84" s="89">
        <f>IF(Q84="tak",T84,IF(P84-SUM(AB$5:AB84)+1&gt;0,IF(Podsumowanie!E$7&lt;B84,IF(SUM(AB$5:AB84)-Podsumowanie!E$9+1&gt;0,PMT(M84/12,P84+1-SUM(AB$5:AB84),O84),T84),0),0))</f>
        <v>-1905.1246584084117</v>
      </c>
      <c r="V84" s="89">
        <f t="shared" si="83"/>
        <v>-601.8525908123349</v>
      </c>
      <c r="W84" s="90" t="str">
        <f>IF(R84&gt;0,R84/(C84*(1-Podsumowanie!E$11))," ")</f>
        <v xml:space="preserve"> </v>
      </c>
      <c r="X84" s="90" t="str">
        <f t="shared" si="105"/>
        <v xml:space="preserve"> </v>
      </c>
      <c r="Y84" s="91">
        <f t="shared" si="109"/>
        <v>-590.8960555589657</v>
      </c>
      <c r="Z84" s="90">
        <f>IF(P84-SUM(AB$5:AB84)+1&gt;0,IF(Podsumowanie!E$7&lt;B84,IF(SUM(AB$5:AB84)-Podsumowanie!E$9+1&gt;0,PMT(M84/12,P84+1-SUM(AB$5:AB84),N84),Y84),0),0)</f>
        <v>-863.7725567755743</v>
      </c>
      <c r="AA84" s="90">
        <f t="shared" si="79"/>
        <v>-272.87650121660863</v>
      </c>
      <c r="AB84" s="8">
        <f>IF(AND(Podsumowanie!E$7&lt;B84,SUM(AB$5:AB83)&lt;P83),1," ")</f>
        <v>1</v>
      </c>
      <c r="AD84" s="10">
        <f>Podsumowanie!E$4-SUM(AF$5:AF83)+SUM(W$42:W84)-SUM(X$42:X84)</f>
        <v>175295.6581355522</v>
      </c>
      <c r="AE84" s="10">
        <f t="shared" si="61"/>
        <v>581.4</v>
      </c>
      <c r="AF84" s="10">
        <f t="shared" si="62"/>
        <v>505.17</v>
      </c>
      <c r="AG84" s="10">
        <f t="shared" si="63"/>
        <v>1086.57</v>
      </c>
      <c r="AH84" s="10">
        <f t="shared" si="106"/>
        <v>2269.56</v>
      </c>
      <c r="AI84" s="10">
        <f>Podsumowanie!E$2-SUM(AK$5:AK83)+SUM(R$42:R84)-SUM(S$42:S84)</f>
        <v>386629.48</v>
      </c>
      <c r="AJ84" s="10">
        <f t="shared" si="65"/>
        <v>1282.32</v>
      </c>
      <c r="AK84" s="10">
        <f t="shared" si="66"/>
        <v>1114.21</v>
      </c>
      <c r="AL84" s="10">
        <f t="shared" si="67"/>
        <v>2396.5299999999997</v>
      </c>
      <c r="AM84" s="10">
        <f t="shared" si="68"/>
        <v>-126.9699999999998</v>
      </c>
      <c r="AO84" s="43">
        <f t="shared" si="107"/>
        <v>39661</v>
      </c>
      <c r="AP84" s="11">
        <f>AP$5+SUM(AS$5:AS83)-SUM(X$5:X84)+SUM(W$5:W84)</f>
        <v>172814.82629915478</v>
      </c>
      <c r="AQ84" s="10">
        <f t="shared" si="70"/>
        <v>-573.1691738921967</v>
      </c>
      <c r="AR84" s="10">
        <f>IF(AB84=1,IF(Q84="tak",AQ84,PMT(M84/12,P84+1-SUM(AB$5:AB84),AP84)),0)</f>
        <v>-837.8593800723071</v>
      </c>
      <c r="AS84" s="10">
        <f t="shared" si="71"/>
        <v>-264.6902061801104</v>
      </c>
      <c r="AT84" s="10">
        <f t="shared" si="72"/>
        <v>-1699.0950368486315</v>
      </c>
      <c r="AV84" s="11">
        <f>AV$5+SUM(AX$5:AX83)+SUM(W$5:W83)-SUM(X$5:X83)</f>
        <v>170036.72719148564</v>
      </c>
      <c r="AW84" s="11">
        <f t="shared" si="73"/>
        <v>-573.1691738921967</v>
      </c>
      <c r="AX84" s="11">
        <f t="shared" si="74"/>
        <v>-490.02</v>
      </c>
      <c r="AY84" s="11">
        <f t="shared" si="75"/>
        <v>-1063.1891738921968</v>
      </c>
      <c r="AZ84" s="11">
        <f t="shared" si="108"/>
        <v>-2156.0413257359855</v>
      </c>
      <c r="BB84" s="191">
        <f t="shared" si="86"/>
        <v>0.0652</v>
      </c>
      <c r="BC84" s="44">
        <f>BB84+Podsumowanie!$E$6</f>
        <v>0.07719999999999999</v>
      </c>
      <c r="BD84" s="11">
        <f>BD$5+SUM(BE$5:BE83)+SUM(R$5:R83)-SUM(S$5:S83)</f>
        <v>395912.15887862514</v>
      </c>
      <c r="BE84" s="10">
        <f t="shared" si="80"/>
        <v>-306.31696752453445</v>
      </c>
      <c r="BF84" s="10">
        <f t="shared" si="78"/>
        <v>-2547.0348887858213</v>
      </c>
      <c r="BG84" s="10">
        <f>IF(U84&lt;0,PMT(BC84/12,Podsumowanie!E$8-SUM(AB$5:AB84)+1,BD84),0)</f>
        <v>-2853.3518563103557</v>
      </c>
      <c r="BI84" s="11">
        <f>BI$5+SUM(BK$5:BK83)+SUM(R$5:R83)-SUM(S$5:S83)</f>
        <v>386629.52646239556</v>
      </c>
      <c r="BJ84" s="11">
        <f t="shared" si="87"/>
        <v>-2487.316620241411</v>
      </c>
      <c r="BK84" s="11">
        <f t="shared" si="88"/>
        <v>-1114.2061281337049</v>
      </c>
      <c r="BL84" s="11">
        <f t="shared" si="89"/>
        <v>-3601.522748375116</v>
      </c>
      <c r="BN84" s="44">
        <f t="shared" si="90"/>
        <v>0.0773</v>
      </c>
      <c r="BO84" s="11">
        <f>BO$5+SUM(BP$5:BP83)+SUM(R$5:R83)-SUM(S$5:S83)+SUM(BS$5:BS83)</f>
        <v>404660.40030790627</v>
      </c>
      <c r="BP84" s="10">
        <f t="shared" si="99"/>
        <v>-312.48088856987033</v>
      </c>
      <c r="BQ84" s="10">
        <f t="shared" si="100"/>
        <v>-2606.6874119834292</v>
      </c>
      <c r="BR84" s="10">
        <f>IF(U84&lt;0,PMT(BN84/12,Podsumowanie!E$8-SUM(AB$5:AB84)+1,BO84),0)</f>
        <v>-2919.1683005532996</v>
      </c>
      <c r="BS84" s="10">
        <f t="shared" si="94"/>
        <v>1114.9746016315567</v>
      </c>
      <c r="BU84" s="11">
        <f>BU$5+SUM(BW$5:BW83)+SUM(R$5:R83)-SUM(S$5:S83)+SUM(BY$5,BY83)</f>
        <v>388454.3946797174</v>
      </c>
      <c r="BV84" s="10">
        <f t="shared" si="91"/>
        <v>-2502.293725728513</v>
      </c>
      <c r="BW84" s="10">
        <f t="shared" si="92"/>
        <v>-1119.4651143507706</v>
      </c>
      <c r="BX84" s="10">
        <f t="shared" si="101"/>
        <v>-3621.758840079284</v>
      </c>
      <c r="BY84" s="10">
        <f t="shared" si="102"/>
        <v>1817.565141157541</v>
      </c>
      <c r="CA84" s="10">
        <f>CA$5+SUM(CB$5:CB83)+SUM(R$5:R83)-SUM(S$5:S83)-SUM(CC$5:CC83)</f>
        <v>404209.1302653316</v>
      </c>
      <c r="CB84" s="10">
        <f t="shared" si="95"/>
        <v>2502.293725728513</v>
      </c>
      <c r="CC84" s="10">
        <f t="shared" si="96"/>
        <v>1804.193698921743</v>
      </c>
      <c r="CD84" s="10">
        <f t="shared" si="97"/>
        <v>-698.1000268067701</v>
      </c>
      <c r="CF84" s="44">
        <f t="shared" si="93"/>
        <v>0.6916</v>
      </c>
      <c r="CG84" s="10">
        <f t="shared" si="98"/>
        <v>-1247.78</v>
      </c>
      <c r="CH84" s="4">
        <f t="shared" si="103"/>
        <v>0</v>
      </c>
    </row>
    <row r="85" spans="1:86" ht="15.75">
      <c r="A85" s="36"/>
      <c r="B85" s="37">
        <v>39692</v>
      </c>
      <c r="C85" s="77">
        <f t="shared" si="84"/>
        <v>2.1152</v>
      </c>
      <c r="D85" s="78">
        <f>C85*(1+Podsumowanie!E$11)</f>
        <v>2.178656</v>
      </c>
      <c r="E85" s="34">
        <f t="shared" si="51"/>
        <v>-863.7725567755747</v>
      </c>
      <c r="F85" s="7">
        <f t="shared" si="81"/>
        <v>-1881.8632634544465</v>
      </c>
      <c r="G85" s="7">
        <f t="shared" si="53"/>
        <v>-1905.124658408412</v>
      </c>
      <c r="H85" s="7">
        <f t="shared" si="82"/>
        <v>-23.261394953965464</v>
      </c>
      <c r="I85" s="32"/>
      <c r="J85" s="4" t="str">
        <f t="shared" si="104"/>
        <v>Ze względu na spadek kursu CHF, rata jest korzystniejsza niż bez klauzuli indeksacyjnej</v>
      </c>
      <c r="K85" s="4">
        <f>IF(B85&lt;Podsumowanie!E$7,0,K84+1)</f>
        <v>15</v>
      </c>
      <c r="L85" s="100">
        <f t="shared" si="85"/>
        <v>0.0278</v>
      </c>
      <c r="M85" s="38">
        <f>L85+Podsumowanie!E$6</f>
        <v>0.0398</v>
      </c>
      <c r="N85" s="101">
        <f>MAX(Podsumowanie!E$4+SUM(AA$5:AA84)-SUM(X$5:X85)+SUM(W$5:W85),0)</f>
        <v>177886.7382401801</v>
      </c>
      <c r="O85" s="102">
        <f>MAX(Podsumowanie!E$2+SUM(V$5:V84)-SUM(S$5:S85)+SUM(R$5:R85),0)</f>
        <v>392344.4994482058</v>
      </c>
      <c r="P85" s="39">
        <f t="shared" si="56"/>
        <v>360</v>
      </c>
      <c r="Q85" s="40" t="str">
        <f>IF(AND(K85&gt;0,K85&lt;=Podsumowanie!E$9),"tak","nie")</f>
        <v>nie</v>
      </c>
      <c r="R85" s="41"/>
      <c r="S85" s="42"/>
      <c r="T85" s="88">
        <f t="shared" si="57"/>
        <v>-1301.2759231698826</v>
      </c>
      <c r="U85" s="89">
        <f>IF(Q85="tak",T85,IF(P85-SUM(AB$5:AB85)+1&gt;0,IF(Podsumowanie!E$7&lt;B85,IF(SUM(AB$5:AB85)-Podsumowanie!E$9+1&gt;0,PMT(M85/12,P85+1-SUM(AB$5:AB85),O85),T85),0),0))</f>
        <v>-1905.124658408412</v>
      </c>
      <c r="V85" s="89">
        <f t="shared" si="83"/>
        <v>-603.8487352385293</v>
      </c>
      <c r="W85" s="90" t="str">
        <f>IF(R85&gt;0,R85/(C85*(1-Podsumowanie!E$11))," ")</f>
        <v xml:space="preserve"> </v>
      </c>
      <c r="X85" s="90" t="str">
        <f t="shared" si="105"/>
        <v xml:space="preserve"> </v>
      </c>
      <c r="Y85" s="91">
        <f t="shared" si="109"/>
        <v>-589.991015163264</v>
      </c>
      <c r="Z85" s="90">
        <f>IF(P85-SUM(AB$5:AB85)+1&gt;0,IF(Podsumowanie!E$7&lt;B85,IF(SUM(AB$5:AB85)-Podsumowanie!E$9+1&gt;0,PMT(M85/12,P85+1-SUM(AB$5:AB85),N85),Y85),0),0)</f>
        <v>-863.7725567755747</v>
      </c>
      <c r="AA85" s="90">
        <f t="shared" si="79"/>
        <v>-273.78154161231066</v>
      </c>
      <c r="AB85" s="8">
        <f>IF(AND(Podsumowanie!E$7&lt;B85,SUM(AB$5:AB84)&lt;P84),1," ")</f>
        <v>1</v>
      </c>
      <c r="AD85" s="10">
        <f>Podsumowanie!E$4-SUM(AF$5:AF84)+SUM(W$42:W85)-SUM(X$42:X85)</f>
        <v>174790.4881355522</v>
      </c>
      <c r="AE85" s="10">
        <f t="shared" si="61"/>
        <v>579.72</v>
      </c>
      <c r="AF85" s="10">
        <f t="shared" si="62"/>
        <v>505.17</v>
      </c>
      <c r="AG85" s="10">
        <f t="shared" si="63"/>
        <v>1084.89</v>
      </c>
      <c r="AH85" s="10">
        <f t="shared" si="106"/>
        <v>2363.6</v>
      </c>
      <c r="AI85" s="10">
        <f>Podsumowanie!E$2-SUM(AK$5:AK84)+SUM(R$42:R85)-SUM(S$42:S85)</f>
        <v>385515.27</v>
      </c>
      <c r="AJ85" s="10">
        <f t="shared" si="65"/>
        <v>1278.63</v>
      </c>
      <c r="AK85" s="10">
        <f t="shared" si="66"/>
        <v>1114.21</v>
      </c>
      <c r="AL85" s="10">
        <f t="shared" si="67"/>
        <v>2392.84</v>
      </c>
      <c r="AM85" s="10">
        <f t="shared" si="68"/>
        <v>-29.240000000000236</v>
      </c>
      <c r="AO85" s="43">
        <f t="shared" si="107"/>
        <v>39692</v>
      </c>
      <c r="AP85" s="11">
        <f>AP$5+SUM(AS$5:AS84)-SUM(X$5:X85)+SUM(W$5:W85)</f>
        <v>172550.1360929747</v>
      </c>
      <c r="AQ85" s="10">
        <f t="shared" si="70"/>
        <v>-572.2912847083661</v>
      </c>
      <c r="AR85" s="10">
        <f>IF(AB85=1,IF(Q85="tak",AQ85,PMT(M85/12,P85+1-SUM(AB$5:AB85),AP85)),0)</f>
        <v>-837.8593800723073</v>
      </c>
      <c r="AS85" s="10">
        <f t="shared" si="71"/>
        <v>-265.5680953639412</v>
      </c>
      <c r="AT85" s="10">
        <f t="shared" si="72"/>
        <v>-1772.2401607289446</v>
      </c>
      <c r="AV85" s="11">
        <f>AV$5+SUM(AX$5:AX84)+SUM(W$5:W84)-SUM(X$5:X84)</f>
        <v>169546.70719148562</v>
      </c>
      <c r="AW85" s="11">
        <f t="shared" si="73"/>
        <v>-572.2912847083661</v>
      </c>
      <c r="AX85" s="11">
        <f t="shared" si="74"/>
        <v>-490.02</v>
      </c>
      <c r="AY85" s="11">
        <f t="shared" si="75"/>
        <v>-1062.3112847083662</v>
      </c>
      <c r="AZ85" s="11">
        <f t="shared" si="108"/>
        <v>-2247.000829415136</v>
      </c>
      <c r="BB85" s="191">
        <f t="shared" si="86"/>
        <v>0.0656</v>
      </c>
      <c r="BC85" s="44">
        <f>BB85+Podsumowanie!$E$6</f>
        <v>0.0776</v>
      </c>
      <c r="BD85" s="11">
        <f>BD$5+SUM(BE$5:BE84)+SUM(R$5:R84)-SUM(S$5:S84)</f>
        <v>395605.8419111006</v>
      </c>
      <c r="BE85" s="10">
        <f t="shared" si="80"/>
        <v>-305.92053607385833</v>
      </c>
      <c r="BF85" s="10">
        <f t="shared" si="78"/>
        <v>-2558.2511110251176</v>
      </c>
      <c r="BG85" s="10">
        <f>IF(U85&lt;0,PMT(BC85/12,Podsumowanie!E$8-SUM(AB$5:AB85)+1,BD85),0)</f>
        <v>-2864.171647098976</v>
      </c>
      <c r="BI85" s="11">
        <f>BI$5+SUM(BK$5:BK84)+SUM(R$5:R84)-SUM(S$5:S84)</f>
        <v>385515.32033426187</v>
      </c>
      <c r="BJ85" s="11">
        <f t="shared" si="87"/>
        <v>-2492.9990714948935</v>
      </c>
      <c r="BK85" s="11">
        <f t="shared" si="88"/>
        <v>-1114.2061281337049</v>
      </c>
      <c r="BL85" s="11">
        <f t="shared" si="89"/>
        <v>-3607.205199628598</v>
      </c>
      <c r="BN85" s="44">
        <f t="shared" si="90"/>
        <v>0.0777</v>
      </c>
      <c r="BO85" s="11">
        <f>BO$5+SUM(BP$5:BP84)+SUM(R$5:R84)-SUM(S$5:S84)+SUM(BS$5:BS84)</f>
        <v>405462.894020968</v>
      </c>
      <c r="BP85" s="10">
        <f t="shared" si="99"/>
        <v>-312.9389478640478</v>
      </c>
      <c r="BQ85" s="10">
        <f t="shared" si="100"/>
        <v>-2625.372238785768</v>
      </c>
      <c r="BR85" s="10">
        <f>IF(U85&lt;0,PMT(BN85/12,Podsumowanie!E$8-SUM(AB$5:AB85)+1,BO85),0)</f>
        <v>-2938.3111866498157</v>
      </c>
      <c r="BS85" s="10">
        <f t="shared" si="94"/>
        <v>1056.4479231953692</v>
      </c>
      <c r="BU85" s="11">
        <f>BU$5+SUM(BW$5:BW84)+SUM(R$5:R84)-SUM(S$5:S84)+SUM(BY$5,BY84)</f>
        <v>387283.50494046276</v>
      </c>
      <c r="BV85" s="10">
        <f t="shared" si="91"/>
        <v>-2507.6606944894966</v>
      </c>
      <c r="BW85" s="10">
        <f t="shared" si="92"/>
        <v>-1119.3164882672334</v>
      </c>
      <c r="BX85" s="10">
        <f t="shared" si="101"/>
        <v>-3626.97718275673</v>
      </c>
      <c r="BY85" s="10">
        <f t="shared" si="102"/>
        <v>1745.1139193022836</v>
      </c>
      <c r="CA85" s="10">
        <f>CA$5+SUM(CB$5:CB84)+SUM(R$5:R84)-SUM(S$5:S84)-SUM(CC$5:CC84)</f>
        <v>404907.23029213835</v>
      </c>
      <c r="CB85" s="10">
        <f t="shared" si="95"/>
        <v>2507.6606944894966</v>
      </c>
      <c r="CC85" s="10">
        <f t="shared" si="96"/>
        <v>1881.8632634544465</v>
      </c>
      <c r="CD85" s="10">
        <f t="shared" si="97"/>
        <v>-625.7974310350501</v>
      </c>
      <c r="CF85" s="44">
        <f t="shared" si="93"/>
        <v>0.6865</v>
      </c>
      <c r="CG85" s="10">
        <f t="shared" si="98"/>
        <v>-1291.9</v>
      </c>
      <c r="CH85" s="4">
        <f t="shared" si="103"/>
        <v>0</v>
      </c>
    </row>
    <row r="86" spans="1:86" ht="15.75">
      <c r="A86" s="36"/>
      <c r="B86" s="37">
        <v>39722</v>
      </c>
      <c r="C86" s="77">
        <f t="shared" si="84"/>
        <v>2.3634</v>
      </c>
      <c r="D86" s="78">
        <f>C86*(1+Podsumowanie!E$11)</f>
        <v>2.434302</v>
      </c>
      <c r="E86" s="34">
        <f t="shared" si="51"/>
        <v>-879.033969972102</v>
      </c>
      <c r="F86" s="7">
        <f t="shared" si="81"/>
        <v>-2139.834151171028</v>
      </c>
      <c r="G86" s="7">
        <f t="shared" si="53"/>
        <v>-1938.7850176948887</v>
      </c>
      <c r="H86" s="7">
        <f t="shared" si="82"/>
        <v>201.04913347613956</v>
      </c>
      <c r="I86" s="32"/>
      <c r="J86" s="4" t="str">
        <f t="shared" si="104"/>
        <v xml:space="preserve"> </v>
      </c>
      <c r="K86" s="4">
        <f>IF(B86&lt;Podsumowanie!E$7,0,K85+1)</f>
        <v>16</v>
      </c>
      <c r="L86" s="100">
        <f t="shared" si="85"/>
        <v>0.0293</v>
      </c>
      <c r="M86" s="38">
        <f>L86+Podsumowanie!E$6</f>
        <v>0.0413</v>
      </c>
      <c r="N86" s="101">
        <f>MAX(Podsumowanie!E$4+SUM(AA$5:AA85)-SUM(X$5:X86)+SUM(W$5:W86),0)</f>
        <v>177612.95669856778</v>
      </c>
      <c r="O86" s="102">
        <f>MAX(Podsumowanie!E$2+SUM(V$5:V85)-SUM(S$5:S86)+SUM(R$5:R86),0)</f>
        <v>391740.65071296727</v>
      </c>
      <c r="P86" s="39">
        <f t="shared" si="56"/>
        <v>360</v>
      </c>
      <c r="Q86" s="40" t="str">
        <f>IF(AND(K86&gt;0,K86&lt;=Podsumowanie!E$9),"tak","nie")</f>
        <v>nie</v>
      </c>
      <c r="R86" s="41"/>
      <c r="S86" s="42"/>
      <c r="T86" s="88">
        <f t="shared" si="57"/>
        <v>-1348.240739537129</v>
      </c>
      <c r="U86" s="89">
        <f>IF(Q86="tak",T86,IF(P86-SUM(AB$5:AB86)+1&gt;0,IF(Podsumowanie!E$7&lt;B86,IF(SUM(AB$5:AB86)-Podsumowanie!E$9+1&gt;0,PMT(M86/12,P86+1-SUM(AB$5:AB86),O86),T86),0),0))</f>
        <v>-1938.7850176948887</v>
      </c>
      <c r="V86" s="89">
        <f t="shared" si="83"/>
        <v>-590.5442781577597</v>
      </c>
      <c r="W86" s="90" t="str">
        <f>IF(R86&gt;0,R86/(C86*(1-Podsumowanie!E$11))," ")</f>
        <v xml:space="preserve"> </v>
      </c>
      <c r="X86" s="90" t="str">
        <f t="shared" si="105"/>
        <v xml:space="preserve"> </v>
      </c>
      <c r="Y86" s="91">
        <f t="shared" si="109"/>
        <v>-611.2845926375709</v>
      </c>
      <c r="Z86" s="90">
        <f>IF(P86-SUM(AB$5:AB86)+1&gt;0,IF(Podsumowanie!E$7&lt;B86,IF(SUM(AB$5:AB86)-Podsumowanie!E$9+1&gt;0,PMT(M86/12,P86+1-SUM(AB$5:AB86),N86),Y86),0),0)</f>
        <v>-879.033969972102</v>
      </c>
      <c r="AA86" s="90">
        <f t="shared" si="79"/>
        <v>-267.7493773345311</v>
      </c>
      <c r="AB86" s="8">
        <f>IF(AND(Podsumowanie!E$7&lt;B86,SUM(AB$5:AB85)&lt;P85),1," ")</f>
        <v>1</v>
      </c>
      <c r="AD86" s="10">
        <f>Podsumowanie!E$4-SUM(AF$5:AF85)+SUM(W$42:W86)-SUM(X$42:X86)</f>
        <v>174285.3181355522</v>
      </c>
      <c r="AE86" s="10">
        <f t="shared" si="61"/>
        <v>599.83</v>
      </c>
      <c r="AF86" s="10">
        <f t="shared" si="62"/>
        <v>505.17</v>
      </c>
      <c r="AG86" s="10">
        <f t="shared" si="63"/>
        <v>1105</v>
      </c>
      <c r="AH86" s="10">
        <f t="shared" si="106"/>
        <v>2689.9</v>
      </c>
      <c r="AI86" s="10">
        <f>Podsumowanie!E$2-SUM(AK$5:AK85)+SUM(R$42:R86)-SUM(S$42:S86)</f>
        <v>384401.06</v>
      </c>
      <c r="AJ86" s="10">
        <f t="shared" si="65"/>
        <v>1322.98</v>
      </c>
      <c r="AK86" s="10">
        <f t="shared" si="66"/>
        <v>1114.21</v>
      </c>
      <c r="AL86" s="10">
        <f t="shared" si="67"/>
        <v>2437.19</v>
      </c>
      <c r="AM86" s="10">
        <f t="shared" si="68"/>
        <v>252.71000000000004</v>
      </c>
      <c r="AO86" s="43">
        <f t="shared" si="107"/>
        <v>39722</v>
      </c>
      <c r="AP86" s="11">
        <f>AP$5+SUM(AS$5:AS85)-SUM(X$5:X86)+SUM(W$5:W86)</f>
        <v>172284.56799761075</v>
      </c>
      <c r="AQ86" s="10">
        <f t="shared" si="70"/>
        <v>-592.9460548584437</v>
      </c>
      <c r="AR86" s="10">
        <f>IF(AB86=1,IF(Q86="tak",AQ86,PMT(M86/12,P86+1-SUM(AB$5:AB86),AP86)),0)</f>
        <v>-852.6629508729391</v>
      </c>
      <c r="AS86" s="10">
        <f t="shared" si="71"/>
        <v>-259.7168960144953</v>
      </c>
      <c r="AT86" s="10">
        <f t="shared" si="72"/>
        <v>-2015.183618093104</v>
      </c>
      <c r="AV86" s="11">
        <f>AV$5+SUM(AX$5:AX85)+SUM(W$5:W85)-SUM(X$5:X85)</f>
        <v>169056.68719148563</v>
      </c>
      <c r="AW86" s="11">
        <f t="shared" si="73"/>
        <v>-592.9460548584437</v>
      </c>
      <c r="AX86" s="11">
        <f t="shared" si="74"/>
        <v>-490.02</v>
      </c>
      <c r="AY86" s="11">
        <f t="shared" si="75"/>
        <v>-1082.9660548584438</v>
      </c>
      <c r="AZ86" s="11">
        <f t="shared" si="108"/>
        <v>-2559.4819740524463</v>
      </c>
      <c r="BB86" s="191">
        <f t="shared" si="86"/>
        <v>0.068</v>
      </c>
      <c r="BC86" s="44">
        <f>BB86+Podsumowanie!$E$6</f>
        <v>0.08</v>
      </c>
      <c r="BD86" s="11">
        <f>BD$5+SUM(BE$5:BE85)+SUM(R$5:R85)-SUM(S$5:S85)</f>
        <v>395299.92137502675</v>
      </c>
      <c r="BE86" s="10">
        <f t="shared" si="80"/>
        <v>-293.9798757961771</v>
      </c>
      <c r="BF86" s="10">
        <f t="shared" si="78"/>
        <v>-2635.332809166845</v>
      </c>
      <c r="BG86" s="10">
        <f>IF(U86&lt;0,PMT(BC86/12,Podsumowanie!E$8-SUM(AB$5:AB86)+1,BD86),0)</f>
        <v>-2929.312684963022</v>
      </c>
      <c r="BI86" s="11">
        <f>BI$5+SUM(BK$5:BK85)+SUM(R$5:R85)-SUM(S$5:S85)</f>
        <v>384401.1142061281</v>
      </c>
      <c r="BJ86" s="11">
        <f t="shared" si="87"/>
        <v>-2562.674094707521</v>
      </c>
      <c r="BK86" s="11">
        <f t="shared" si="88"/>
        <v>-1114.2061281337046</v>
      </c>
      <c r="BL86" s="11">
        <f t="shared" si="89"/>
        <v>-3676.8802228412255</v>
      </c>
      <c r="BN86" s="44">
        <f t="shared" si="90"/>
        <v>0.0801</v>
      </c>
      <c r="BO86" s="11">
        <f>BO$5+SUM(BP$5:BP85)+SUM(R$5:R85)-SUM(S$5:S85)+SUM(BS$5:BS85)</f>
        <v>406206.4029962993</v>
      </c>
      <c r="BP86" s="10">
        <f t="shared" si="99"/>
        <v>-301.5072141072501</v>
      </c>
      <c r="BQ86" s="10">
        <f t="shared" si="100"/>
        <v>-2711.427740000298</v>
      </c>
      <c r="BR86" s="10">
        <f>IF(U86&lt;0,PMT(BN86/12,Podsumowanie!E$8-SUM(AB$5:AB86)+1,BO86),0)</f>
        <v>-3012.934954107548</v>
      </c>
      <c r="BS86" s="10">
        <f t="shared" si="94"/>
        <v>873.1008029365198</v>
      </c>
      <c r="BU86" s="11">
        <f>BU$5+SUM(BW$5:BW85)+SUM(R$5:R85)-SUM(S$5:S85)+SUM(BY$5,BY85)</f>
        <v>386091.73723034025</v>
      </c>
      <c r="BV86" s="10">
        <f t="shared" si="91"/>
        <v>-2577.1623460125215</v>
      </c>
      <c r="BW86" s="10">
        <f t="shared" si="92"/>
        <v>-1119.106484725624</v>
      </c>
      <c r="BX86" s="10">
        <f t="shared" si="101"/>
        <v>-3696.2688307381454</v>
      </c>
      <c r="BY86" s="10">
        <f t="shared" si="102"/>
        <v>1556.4346795671172</v>
      </c>
      <c r="CA86" s="10">
        <f>CA$5+SUM(CB$5:CB85)+SUM(R$5:R85)-SUM(S$5:S85)-SUM(CC$5:CC85)</f>
        <v>405533.0277231734</v>
      </c>
      <c r="CB86" s="10">
        <f t="shared" si="95"/>
        <v>2577.1623460125215</v>
      </c>
      <c r="CC86" s="10">
        <f t="shared" si="96"/>
        <v>2139.834151171028</v>
      </c>
      <c r="CD86" s="10">
        <f t="shared" si="97"/>
        <v>-437.3281948414933</v>
      </c>
      <c r="CF86" s="44">
        <f t="shared" si="93"/>
        <v>0.6798</v>
      </c>
      <c r="CG86" s="10">
        <f t="shared" si="98"/>
        <v>-1454.66</v>
      </c>
      <c r="CH86" s="4">
        <f t="shared" si="103"/>
        <v>0</v>
      </c>
    </row>
    <row r="87" spans="1:86" ht="15.75">
      <c r="A87" s="36"/>
      <c r="B87" s="37">
        <v>39753</v>
      </c>
      <c r="C87" s="77">
        <f t="shared" si="84"/>
        <v>2.4566</v>
      </c>
      <c r="D87" s="78">
        <f>C87*(1+Podsumowanie!E$11)</f>
        <v>2.530298</v>
      </c>
      <c r="E87" s="34">
        <f t="shared" si="51"/>
        <v>-862.796127064768</v>
      </c>
      <c r="F87" s="7">
        <f t="shared" si="81"/>
        <v>-2183.1313147197284</v>
      </c>
      <c r="G87" s="7">
        <f t="shared" si="53"/>
        <v>-1902.9710587082734</v>
      </c>
      <c r="H87" s="7">
        <f t="shared" si="82"/>
        <v>280.160256011455</v>
      </c>
      <c r="I87" s="32"/>
      <c r="J87" s="4" t="str">
        <f t="shared" si="104"/>
        <v xml:space="preserve"> </v>
      </c>
      <c r="K87" s="4">
        <f>IF(B87&lt;Podsumowanie!E$7,0,K86+1)</f>
        <v>17</v>
      </c>
      <c r="L87" s="100">
        <f t="shared" si="85"/>
        <v>0.0277</v>
      </c>
      <c r="M87" s="38">
        <f>L87+Podsumowanie!E$6</f>
        <v>0.0397</v>
      </c>
      <c r="N87" s="101">
        <f>MAX(Podsumowanie!E$4+SUM(AA$5:AA86)-SUM(X$5:X87)+SUM(W$5:W87),0)</f>
        <v>177345.20732123323</v>
      </c>
      <c r="O87" s="102">
        <f>MAX(Podsumowanie!E$2+SUM(V$5:V86)-SUM(S$5:S87)+SUM(R$5:R87),0)</f>
        <v>391150.1064348095</v>
      </c>
      <c r="P87" s="39">
        <f t="shared" si="56"/>
        <v>360</v>
      </c>
      <c r="Q87" s="40" t="str">
        <f>IF(AND(K87&gt;0,K87&lt;=Podsumowanie!E$9),"tak","nie")</f>
        <v>nie</v>
      </c>
      <c r="R87" s="41"/>
      <c r="S87" s="42"/>
      <c r="T87" s="88">
        <f t="shared" si="57"/>
        <v>-1294.0549354551615</v>
      </c>
      <c r="U87" s="89">
        <f>IF(Q87="tak",T87,IF(P87-SUM(AB$5:AB87)+1&gt;0,IF(Podsumowanie!E$7&lt;B87,IF(SUM(AB$5:AB87)-Podsumowanie!E$9+1&gt;0,PMT(M87/12,P87+1-SUM(AB$5:AB87),O87),T87),0),0))</f>
        <v>-1902.9710587082734</v>
      </c>
      <c r="V87" s="89">
        <f t="shared" si="83"/>
        <v>-608.9161232531119</v>
      </c>
      <c r="W87" s="90" t="str">
        <f>IF(R87&gt;0,R87/(C87*(1-Podsumowanie!E$11))," ")</f>
        <v xml:space="preserve"> </v>
      </c>
      <c r="X87" s="90" t="str">
        <f t="shared" si="105"/>
        <v xml:space="preserve"> </v>
      </c>
      <c r="Y87" s="91">
        <f t="shared" si="109"/>
        <v>-586.7170608877466</v>
      </c>
      <c r="Z87" s="90">
        <f>IF(P87-SUM(AB$5:AB87)+1&gt;0,IF(Podsumowanie!E$7&lt;B87,IF(SUM(AB$5:AB87)-Podsumowanie!E$9+1&gt;0,PMT(M87/12,P87+1-SUM(AB$5:AB87),N87),Y87),0),0)</f>
        <v>-862.796127064768</v>
      </c>
      <c r="AA87" s="90">
        <f t="shared" si="79"/>
        <v>-276.07906617702145</v>
      </c>
      <c r="AB87" s="8">
        <f>IF(AND(Podsumowanie!E$7&lt;B87,SUM(AB$5:AB86)&lt;P86),1," ")</f>
        <v>1</v>
      </c>
      <c r="AD87" s="10">
        <f>Podsumowanie!E$4-SUM(AF$5:AF86)+SUM(W$42:W87)-SUM(X$42:X87)</f>
        <v>173780.1481355522</v>
      </c>
      <c r="AE87" s="10">
        <f t="shared" si="61"/>
        <v>574.92</v>
      </c>
      <c r="AF87" s="10">
        <f t="shared" si="62"/>
        <v>505.17</v>
      </c>
      <c r="AG87" s="10">
        <f t="shared" si="63"/>
        <v>1080.09</v>
      </c>
      <c r="AH87" s="10">
        <f t="shared" si="106"/>
        <v>2732.95</v>
      </c>
      <c r="AI87" s="10">
        <f>Podsumowanie!E$2-SUM(AK$5:AK86)+SUM(R$42:R87)-SUM(S$42:S87)</f>
        <v>383286.85</v>
      </c>
      <c r="AJ87" s="10">
        <f t="shared" si="65"/>
        <v>1268.04</v>
      </c>
      <c r="AK87" s="10">
        <f t="shared" si="66"/>
        <v>1114.21</v>
      </c>
      <c r="AL87" s="10">
        <f t="shared" si="67"/>
        <v>2382.25</v>
      </c>
      <c r="AM87" s="10">
        <f t="shared" si="68"/>
        <v>350.6999999999998</v>
      </c>
      <c r="AO87" s="43">
        <f t="shared" si="107"/>
        <v>39753</v>
      </c>
      <c r="AP87" s="11">
        <f>AP$5+SUM(AS$5:AS86)-SUM(X$5:X87)+SUM(W$5:W87)</f>
        <v>172024.85110159626</v>
      </c>
      <c r="AQ87" s="10">
        <f t="shared" si="70"/>
        <v>-569.1155490611143</v>
      </c>
      <c r="AR87" s="10">
        <f>IF(AB87=1,IF(Q87="tak",AQ87,PMT(M87/12,P87+1-SUM(AB$5:AB87),AP87)),0)</f>
        <v>-836.9122432528251</v>
      </c>
      <c r="AS87" s="10">
        <f t="shared" si="71"/>
        <v>-267.7966941917108</v>
      </c>
      <c r="AT87" s="10">
        <f t="shared" si="72"/>
        <v>-2055.95861677489</v>
      </c>
      <c r="AV87" s="11">
        <f>AV$5+SUM(AX$5:AX86)+SUM(W$5:W86)-SUM(X$5:X86)</f>
        <v>168566.66719148564</v>
      </c>
      <c r="AW87" s="11">
        <f t="shared" si="73"/>
        <v>-569.1155490611143</v>
      </c>
      <c r="AX87" s="11">
        <f t="shared" si="74"/>
        <v>-490.02</v>
      </c>
      <c r="AY87" s="11">
        <f t="shared" si="75"/>
        <v>-1059.1355490611143</v>
      </c>
      <c r="AZ87" s="11">
        <f t="shared" si="108"/>
        <v>-2601.872389823533</v>
      </c>
      <c r="BB87" s="191">
        <f t="shared" si="86"/>
        <v>0.0674</v>
      </c>
      <c r="BC87" s="44">
        <f>BB87+Podsumowanie!$E$6</f>
        <v>0.0794</v>
      </c>
      <c r="BD87" s="11">
        <f>BD$5+SUM(BE$5:BE86)+SUM(R$5:R86)-SUM(S$5:S86)</f>
        <v>395005.94149923057</v>
      </c>
      <c r="BE87" s="10">
        <f t="shared" si="80"/>
        <v>-299.3783133295856</v>
      </c>
      <c r="BF87" s="10">
        <f t="shared" si="78"/>
        <v>-2613.6226462532422</v>
      </c>
      <c r="BG87" s="10">
        <f>IF(U87&lt;0,PMT(BC87/12,Podsumowanie!E$8-SUM(AB$5:AB87)+1,BD87),0)</f>
        <v>-2913.000959582828</v>
      </c>
      <c r="BI87" s="11">
        <f>BI$5+SUM(BK$5:BK86)+SUM(R$5:R86)-SUM(S$5:S86)</f>
        <v>383286.9080779944</v>
      </c>
      <c r="BJ87" s="11">
        <f t="shared" si="87"/>
        <v>-2536.0817084493965</v>
      </c>
      <c r="BK87" s="11">
        <f t="shared" si="88"/>
        <v>-1114.2061281337046</v>
      </c>
      <c r="BL87" s="11">
        <f t="shared" si="89"/>
        <v>-3650.287836583101</v>
      </c>
      <c r="BN87" s="44">
        <f t="shared" si="90"/>
        <v>0.0795</v>
      </c>
      <c r="BO87" s="11">
        <f>BO$5+SUM(BP$5:BP86)+SUM(R$5:R86)-SUM(S$5:S86)+SUM(BS$5:BS86)</f>
        <v>406777.9965851286</v>
      </c>
      <c r="BP87" s="10">
        <f t="shared" si="99"/>
        <v>-307.7078315993722</v>
      </c>
      <c r="BQ87" s="10">
        <f t="shared" si="100"/>
        <v>-2694.904227376477</v>
      </c>
      <c r="BR87" s="10">
        <f>IF(U87&lt;0,PMT(BN87/12,Podsumowanie!E$8-SUM(AB$5:AB87)+1,BO87),0)</f>
        <v>-3002.6120589758493</v>
      </c>
      <c r="BS87" s="10">
        <f t="shared" si="94"/>
        <v>819.4807442561209</v>
      </c>
      <c r="BU87" s="11">
        <f>BU$5+SUM(BW$5:BW86)+SUM(R$5:R86)-SUM(S$5:S86)+SUM(BY$5,BY86)</f>
        <v>384783.95150587946</v>
      </c>
      <c r="BV87" s="10">
        <f t="shared" si="91"/>
        <v>-2549.1936787264517</v>
      </c>
      <c r="BW87" s="10">
        <f t="shared" si="92"/>
        <v>-1118.5579985636032</v>
      </c>
      <c r="BX87" s="10">
        <f t="shared" si="101"/>
        <v>-3667.751677290055</v>
      </c>
      <c r="BY87" s="10">
        <f t="shared" si="102"/>
        <v>1484.6203625703265</v>
      </c>
      <c r="CA87" s="10">
        <f>CA$5+SUM(CB$5:CB86)+SUM(R$5:R86)-SUM(S$5:S86)-SUM(CC$5:CC86)</f>
        <v>405970.3559180149</v>
      </c>
      <c r="CB87" s="10">
        <f t="shared" si="95"/>
        <v>2549.1936787264517</v>
      </c>
      <c r="CC87" s="10">
        <f t="shared" si="96"/>
        <v>2183.1313147197284</v>
      </c>
      <c r="CD87" s="10">
        <f t="shared" si="97"/>
        <v>-366.0623640067233</v>
      </c>
      <c r="CF87" s="44">
        <f t="shared" si="93"/>
        <v>0.6765</v>
      </c>
      <c r="CG87" s="10">
        <f t="shared" si="98"/>
        <v>-1476.89</v>
      </c>
      <c r="CH87" s="4">
        <f t="shared" si="103"/>
        <v>0</v>
      </c>
    </row>
    <row r="88" spans="1:86" ht="15.75">
      <c r="A88" s="36"/>
      <c r="B88" s="37">
        <v>39783</v>
      </c>
      <c r="C88" s="77">
        <f t="shared" si="84"/>
        <v>2.6144</v>
      </c>
      <c r="D88" s="78">
        <f>C88*(1+Podsumowanie!E$11)</f>
        <v>2.692832</v>
      </c>
      <c r="E88" s="34">
        <f t="shared" si="51"/>
        <v>-718.8055032730056</v>
      </c>
      <c r="F88" s="7">
        <f t="shared" si="81"/>
        <v>-1935.6224609896542</v>
      </c>
      <c r="G88" s="7">
        <f t="shared" si="53"/>
        <v>-1585.3873547418953</v>
      </c>
      <c r="H88" s="7">
        <f t="shared" si="82"/>
        <v>350.23510624775895</v>
      </c>
      <c r="I88" s="32"/>
      <c r="J88" s="4" t="str">
        <f t="shared" si="104"/>
        <v xml:space="preserve"> </v>
      </c>
      <c r="K88" s="4">
        <f>IF(B88&lt;Podsumowanie!E$7,0,K87+1)</f>
        <v>18</v>
      </c>
      <c r="L88" s="100">
        <f t="shared" si="85"/>
        <v>0.0127</v>
      </c>
      <c r="M88" s="38">
        <f>L88+Podsumowanie!E$6</f>
        <v>0.0247</v>
      </c>
      <c r="N88" s="101">
        <f>MAX(Podsumowanie!E$4+SUM(AA$5:AA87)-SUM(X$5:X88)+SUM(W$5:W88),0)</f>
        <v>177069.12825505622</v>
      </c>
      <c r="O88" s="102">
        <f>MAX(Podsumowanie!E$2+SUM(V$5:V87)-SUM(S$5:S88)+SUM(R$5:R88),0)</f>
        <v>390541.1903115564</v>
      </c>
      <c r="P88" s="39">
        <f t="shared" si="56"/>
        <v>360</v>
      </c>
      <c r="Q88" s="40" t="str">
        <f>IF(AND(K88&gt;0,K88&lt;=Podsumowanie!E$9),"tak","nie")</f>
        <v>nie</v>
      </c>
      <c r="R88" s="41"/>
      <c r="S88" s="42"/>
      <c r="T88" s="88">
        <f t="shared" si="57"/>
        <v>-803.8639500579535</v>
      </c>
      <c r="U88" s="89">
        <f>IF(Q88="tak",T88,IF(P88-SUM(AB$5:AB88)+1&gt;0,IF(Podsumowanie!E$7&lt;B88,IF(SUM(AB$5:AB88)-Podsumowanie!E$9+1&gt;0,PMT(M88/12,P88+1-SUM(AB$5:AB88),O88),T88),0),0))</f>
        <v>-1585.3873547418953</v>
      </c>
      <c r="V88" s="89">
        <f t="shared" si="83"/>
        <v>-781.5234046839417</v>
      </c>
      <c r="W88" s="90" t="str">
        <f>IF(R88&gt;0,R88/(C88*(1-Podsumowanie!E$11))," ")</f>
        <v xml:space="preserve"> </v>
      </c>
      <c r="X88" s="90" t="str">
        <f t="shared" si="105"/>
        <v xml:space="preserve"> </v>
      </c>
      <c r="Y88" s="91">
        <f t="shared" si="109"/>
        <v>-364.46728899165737</v>
      </c>
      <c r="Z88" s="90">
        <f>IF(P88-SUM(AB$5:AB88)+1&gt;0,IF(Podsumowanie!E$7&lt;B88,IF(SUM(AB$5:AB88)-Podsumowanie!E$9+1&gt;0,PMT(M88/12,P88+1-SUM(AB$5:AB88),N88),Y88),0),0)</f>
        <v>-718.8055032730056</v>
      </c>
      <c r="AA88" s="90">
        <f t="shared" si="79"/>
        <v>-354.3382142813482</v>
      </c>
      <c r="AB88" s="8">
        <f>IF(AND(Podsumowanie!E$7&lt;B88,SUM(AB$5:AB87)&lt;P87),1," ")</f>
        <v>1</v>
      </c>
      <c r="AD88" s="10">
        <f>Podsumowanie!E$4-SUM(AF$5:AF87)+SUM(W$42:W88)-SUM(X$42:X88)</f>
        <v>173274.9781355522</v>
      </c>
      <c r="AE88" s="10">
        <f t="shared" si="61"/>
        <v>356.66</v>
      </c>
      <c r="AF88" s="10">
        <f t="shared" si="62"/>
        <v>505.17</v>
      </c>
      <c r="AG88" s="10">
        <f t="shared" si="63"/>
        <v>861.83</v>
      </c>
      <c r="AH88" s="10">
        <f t="shared" si="106"/>
        <v>2320.76</v>
      </c>
      <c r="AI88" s="10">
        <f>Podsumowanie!E$2-SUM(AK$5:AK87)+SUM(R$42:R88)-SUM(S$42:S88)</f>
        <v>382172.64</v>
      </c>
      <c r="AJ88" s="10">
        <f t="shared" si="65"/>
        <v>786.64</v>
      </c>
      <c r="AK88" s="10">
        <f t="shared" si="66"/>
        <v>1114.21</v>
      </c>
      <c r="AL88" s="10">
        <f t="shared" si="67"/>
        <v>1900.85</v>
      </c>
      <c r="AM88" s="10">
        <f t="shared" si="68"/>
        <v>419.9100000000003</v>
      </c>
      <c r="AO88" s="43">
        <f t="shared" si="107"/>
        <v>39783</v>
      </c>
      <c r="AP88" s="11">
        <f>AP$5+SUM(AS$5:AS87)-SUM(X$5:X88)+SUM(W$5:W88)</f>
        <v>171757.05440740453</v>
      </c>
      <c r="AQ88" s="10">
        <f t="shared" si="70"/>
        <v>-353.53327032190765</v>
      </c>
      <c r="AR88" s="10">
        <f>IF(AB88=1,IF(Q88="tak",AQ88,PMT(M88/12,P88+1-SUM(AB$5:AB88),AP88)),0)</f>
        <v>-697.2413381748155</v>
      </c>
      <c r="AS88" s="10">
        <f t="shared" si="71"/>
        <v>-343.70806785290785</v>
      </c>
      <c r="AT88" s="10">
        <f t="shared" si="72"/>
        <v>-1822.8677545242376</v>
      </c>
      <c r="AV88" s="11">
        <f>AV$5+SUM(AX$5:AX87)+SUM(W$5:W87)-SUM(X$5:X87)</f>
        <v>168076.64719148562</v>
      </c>
      <c r="AW88" s="11">
        <f t="shared" si="73"/>
        <v>-353.53327032190765</v>
      </c>
      <c r="AX88" s="11">
        <f t="shared" si="74"/>
        <v>-490.02</v>
      </c>
      <c r="AY88" s="11">
        <f t="shared" si="75"/>
        <v>-843.5532703219076</v>
      </c>
      <c r="AZ88" s="11">
        <f t="shared" si="108"/>
        <v>-2205.385669929595</v>
      </c>
      <c r="BB88" s="191">
        <f t="shared" si="86"/>
        <v>0.0638</v>
      </c>
      <c r="BC88" s="44">
        <f>BB88+Podsumowanie!$E$6</f>
        <v>0.07579999999999999</v>
      </c>
      <c r="BD88" s="11">
        <f>BD$5+SUM(BE$5:BE87)+SUM(R$5:R87)-SUM(S$5:S87)</f>
        <v>394706.563185901</v>
      </c>
      <c r="BE88" s="10">
        <f t="shared" si="80"/>
        <v>-322.7821757364991</v>
      </c>
      <c r="BF88" s="10">
        <f t="shared" si="78"/>
        <v>-2493.229790790941</v>
      </c>
      <c r="BG88" s="10">
        <f>IF(U88&lt;0,PMT(BC88/12,Podsumowanie!E$8-SUM(AB$5:AB88)+1,BD88),0)</f>
        <v>-2816.01196652744</v>
      </c>
      <c r="BI88" s="11">
        <f>BI$5+SUM(BK$5:BK87)+SUM(R$5:R87)-SUM(S$5:S87)</f>
        <v>382172.7019498607</v>
      </c>
      <c r="BJ88" s="11">
        <f t="shared" si="87"/>
        <v>-2414.05756731662</v>
      </c>
      <c r="BK88" s="11">
        <f t="shared" si="88"/>
        <v>-1114.2061281337049</v>
      </c>
      <c r="BL88" s="11">
        <f t="shared" si="89"/>
        <v>-3528.263695450325</v>
      </c>
      <c r="BN88" s="44">
        <f t="shared" si="90"/>
        <v>0.0759</v>
      </c>
      <c r="BO88" s="11">
        <f>BO$5+SUM(BP$5:BP87)+SUM(R$5:R87)-SUM(S$5:S87)+SUM(BS$5:BS87)</f>
        <v>407289.7694977853</v>
      </c>
      <c r="BP88" s="10">
        <f t="shared" si="99"/>
        <v>-332.4407101802276</v>
      </c>
      <c r="BQ88" s="10">
        <f t="shared" si="100"/>
        <v>-2576.107792073492</v>
      </c>
      <c r="BR88" s="10">
        <f>IF(U88&lt;0,PMT(BN88/12,Podsumowanie!E$8-SUM(AB$5:AB88)+1,BO88),0)</f>
        <v>-2908.5485022537196</v>
      </c>
      <c r="BS88" s="10">
        <f t="shared" si="94"/>
        <v>972.9260412640654</v>
      </c>
      <c r="BU88" s="11">
        <f>BU$5+SUM(BW$5:BW87)+SUM(R$5:R87)-SUM(S$5:S87)+SUM(BY$5,BY87)</f>
        <v>383593.5791903191</v>
      </c>
      <c r="BV88" s="10">
        <f t="shared" si="91"/>
        <v>-2426.2293883787684</v>
      </c>
      <c r="BW88" s="10">
        <f t="shared" si="92"/>
        <v>-1118.3486273770236</v>
      </c>
      <c r="BX88" s="10">
        <f t="shared" si="101"/>
        <v>-3544.578015755792</v>
      </c>
      <c r="BY88" s="10">
        <f t="shared" si="102"/>
        <v>1608.9555547661378</v>
      </c>
      <c r="CA88" s="10">
        <f>CA$5+SUM(CB$5:CB87)+SUM(R$5:R87)-SUM(S$5:S87)-SUM(CC$5:CC87)</f>
        <v>406336.41828202165</v>
      </c>
      <c r="CB88" s="10">
        <f t="shared" si="95"/>
        <v>2426.2293883787684</v>
      </c>
      <c r="CC88" s="10">
        <f t="shared" si="96"/>
        <v>1935.6224609896542</v>
      </c>
      <c r="CD88" s="10">
        <f t="shared" si="97"/>
        <v>-490.60692738911416</v>
      </c>
      <c r="CF88" s="44">
        <f t="shared" si="93"/>
        <v>0.6781</v>
      </c>
      <c r="CG88" s="10">
        <f t="shared" si="98"/>
        <v>-1312.55</v>
      </c>
      <c r="CH88" s="4">
        <f t="shared" si="103"/>
        <v>0</v>
      </c>
    </row>
    <row r="89" spans="1:86" ht="15.75">
      <c r="A89" s="36">
        <v>2009</v>
      </c>
      <c r="B89" s="37">
        <v>39814</v>
      </c>
      <c r="C89" s="77">
        <f t="shared" si="84"/>
        <v>2.8272</v>
      </c>
      <c r="D89" s="78">
        <f>C89*(1+Podsumowanie!E$11)</f>
        <v>2.912016</v>
      </c>
      <c r="E89" s="34">
        <f t="shared" si="51"/>
        <v>-665.4937433201673</v>
      </c>
      <c r="F89" s="7">
        <f t="shared" si="81"/>
        <v>-1937.92842844822</v>
      </c>
      <c r="G89" s="7">
        <f t="shared" si="53"/>
        <v>-1467.8036833545543</v>
      </c>
      <c r="H89" s="7">
        <f t="shared" si="82"/>
        <v>470.12474509366575</v>
      </c>
      <c r="I89" s="32"/>
      <c r="J89" s="4" t="str">
        <f t="shared" si="104"/>
        <v xml:space="preserve"> </v>
      </c>
      <c r="K89" s="4">
        <f>IF(B89&lt;Podsumowanie!E$7,0,K88+1)</f>
        <v>19</v>
      </c>
      <c r="L89" s="100">
        <f t="shared" si="85"/>
        <v>0.0067</v>
      </c>
      <c r="M89" s="38">
        <f>L89+Podsumowanie!E$6</f>
        <v>0.0187</v>
      </c>
      <c r="N89" s="101">
        <f>MAX(Podsumowanie!E$4+SUM(AA$5:AA88)-SUM(X$5:X89)+SUM(W$5:W89),0)</f>
        <v>176714.79004077488</v>
      </c>
      <c r="O89" s="102">
        <f>MAX(Podsumowanie!E$2+SUM(V$5:V88)-SUM(S$5:S89)+SUM(R$5:R89),0)</f>
        <v>389759.6669068725</v>
      </c>
      <c r="P89" s="39">
        <f t="shared" si="56"/>
        <v>360</v>
      </c>
      <c r="Q89" s="40" t="str">
        <f>IF(AND(K89&gt;0,K89&lt;=Podsumowanie!E$9),"tak","nie")</f>
        <v>nie</v>
      </c>
      <c r="R89" s="41"/>
      <c r="S89" s="42"/>
      <c r="T89" s="88">
        <f t="shared" si="57"/>
        <v>-607.3754809298763</v>
      </c>
      <c r="U89" s="89">
        <f>IF(Q89="tak",T89,IF(P89-SUM(AB$5:AB89)+1&gt;0,IF(Podsumowanie!E$7&lt;B89,IF(SUM(AB$5:AB89)-Podsumowanie!E$9+1&gt;0,PMT(M89/12,P89+1-SUM(AB$5:AB89),O89),T89),0),0))</f>
        <v>-1467.8036833545543</v>
      </c>
      <c r="V89" s="89">
        <f t="shared" si="83"/>
        <v>-860.428202424678</v>
      </c>
      <c r="W89" s="90" t="str">
        <f>IF(R89&gt;0,R89/(C89*(1-Podsumowanie!E$11))," ")</f>
        <v xml:space="preserve"> </v>
      </c>
      <c r="X89" s="90" t="str">
        <f t="shared" si="105"/>
        <v xml:space="preserve"> </v>
      </c>
      <c r="Y89" s="91">
        <f t="shared" si="109"/>
        <v>-275.3805478135409</v>
      </c>
      <c r="Z89" s="90">
        <f>IF(P89-SUM(AB$5:AB89)+1&gt;0,IF(Podsumowanie!E$7&lt;B89,IF(SUM(AB$5:AB89)-Podsumowanie!E$9+1&gt;0,PMT(M89/12,P89+1-SUM(AB$5:AB89),N89),Y89),0),0)</f>
        <v>-665.4937433201673</v>
      </c>
      <c r="AA89" s="90">
        <f t="shared" si="79"/>
        <v>-390.11319550662637</v>
      </c>
      <c r="AB89" s="8">
        <f>IF(AND(Podsumowanie!E$7&lt;B89,SUM(AB$5:AB88)&lt;P88),1," ")</f>
        <v>1</v>
      </c>
      <c r="AD89" s="10">
        <f>Podsumowanie!E$4-SUM(AF$5:AF88)+SUM(W$42:W89)-SUM(X$42:X89)</f>
        <v>172769.80813555222</v>
      </c>
      <c r="AE89" s="10">
        <f t="shared" si="61"/>
        <v>269.23</v>
      </c>
      <c r="AF89" s="10">
        <f t="shared" si="62"/>
        <v>505.17</v>
      </c>
      <c r="AG89" s="10">
        <f t="shared" si="63"/>
        <v>774.4000000000001</v>
      </c>
      <c r="AH89" s="10">
        <f t="shared" si="106"/>
        <v>2255.07</v>
      </c>
      <c r="AI89" s="10">
        <f>Podsumowanie!E$2-SUM(AK$5:AK88)+SUM(R$42:R89)-SUM(S$42:S89)</f>
        <v>381058.43</v>
      </c>
      <c r="AJ89" s="10">
        <f t="shared" si="65"/>
        <v>593.82</v>
      </c>
      <c r="AK89" s="10">
        <f t="shared" si="66"/>
        <v>1114.21</v>
      </c>
      <c r="AL89" s="10">
        <f t="shared" si="67"/>
        <v>1708.0300000000002</v>
      </c>
      <c r="AM89" s="10">
        <f t="shared" si="68"/>
        <v>547.04</v>
      </c>
      <c r="AO89" s="43">
        <f t="shared" si="107"/>
        <v>39814</v>
      </c>
      <c r="AP89" s="11">
        <f>AP$5+SUM(AS$5:AS88)-SUM(X$5:X89)+SUM(W$5:W89)</f>
        <v>171413.34633955162</v>
      </c>
      <c r="AQ89" s="10">
        <f t="shared" si="70"/>
        <v>-267.1191313791346</v>
      </c>
      <c r="AR89" s="10">
        <f>IF(AB89=1,IF(Q89="tak",AQ89,PMT(M89/12,P89+1-SUM(AB$5:AB89),AP89)),0)</f>
        <v>-645.5289310205623</v>
      </c>
      <c r="AS89" s="10">
        <f t="shared" si="71"/>
        <v>-378.40979964142764</v>
      </c>
      <c r="AT89" s="10">
        <f t="shared" si="72"/>
        <v>-1825.0393937813335</v>
      </c>
      <c r="AV89" s="11">
        <f>AV$5+SUM(AX$5:AX88)+SUM(W$5:W88)-SUM(X$5:X88)</f>
        <v>167586.62719148563</v>
      </c>
      <c r="AW89" s="11">
        <f t="shared" si="73"/>
        <v>-267.1191313791346</v>
      </c>
      <c r="AX89" s="11">
        <f t="shared" si="74"/>
        <v>-490.02</v>
      </c>
      <c r="AY89" s="11">
        <f t="shared" si="75"/>
        <v>-757.1391313791346</v>
      </c>
      <c r="AZ89" s="11">
        <f t="shared" si="108"/>
        <v>-2140.5837522350894</v>
      </c>
      <c r="BB89" s="191">
        <f t="shared" si="86"/>
        <v>0.0551</v>
      </c>
      <c r="BC89" s="44">
        <f>BB89+Podsumowanie!$E$6</f>
        <v>0.0671</v>
      </c>
      <c r="BD89" s="11">
        <f>BD$5+SUM(BE$5:BE88)+SUM(R$5:R88)-SUM(S$5:S88)</f>
        <v>394383.7810101645</v>
      </c>
      <c r="BE89" s="10">
        <f t="shared" si="80"/>
        <v>-382.15051410495107</v>
      </c>
      <c r="BF89" s="10">
        <f t="shared" si="78"/>
        <v>-2205.2626421485033</v>
      </c>
      <c r="BG89" s="10">
        <f>IF(U89&lt;0,PMT(BC89/12,Podsumowanie!E$8-SUM(AB$5:AB89)+1,BD89),0)</f>
        <v>-2587.4131562534544</v>
      </c>
      <c r="BI89" s="11">
        <f>BI$5+SUM(BK$5:BK88)+SUM(R$5:R88)-SUM(S$5:S88)</f>
        <v>381058.49582172703</v>
      </c>
      <c r="BJ89" s="11">
        <f t="shared" si="87"/>
        <v>-2130.7520891364907</v>
      </c>
      <c r="BK89" s="11">
        <f t="shared" si="88"/>
        <v>-1114.2061281337049</v>
      </c>
      <c r="BL89" s="11">
        <f t="shared" si="89"/>
        <v>-3244.9582172701957</v>
      </c>
      <c r="BN89" s="44">
        <f t="shared" si="90"/>
        <v>0.06720000000000001</v>
      </c>
      <c r="BO89" s="11">
        <f>BO$5+SUM(BP$5:BP88)+SUM(R$5:R88)-SUM(S$5:S88)+SUM(BS$5:BS88)</f>
        <v>407930.25482886913</v>
      </c>
      <c r="BP89" s="10">
        <f t="shared" si="99"/>
        <v>-394.5481931092636</v>
      </c>
      <c r="BQ89" s="10">
        <f t="shared" si="100"/>
        <v>-2284.4094270416676</v>
      </c>
      <c r="BR89" s="10">
        <f>IF(U89&lt;0,PMT(BN89/12,Podsumowanie!E$8-SUM(AB$5:AB89)+1,BO89),0)</f>
        <v>-2678.9576201509312</v>
      </c>
      <c r="BS89" s="10">
        <f t="shared" si="94"/>
        <v>741.0291917027112</v>
      </c>
      <c r="BU89" s="11">
        <f>BU$5+SUM(BW$5:BW88)+SUM(R$5:R88)-SUM(S$5:S88)+SUM(BY$5,BY88)</f>
        <v>382599.5657551378</v>
      </c>
      <c r="BV89" s="10">
        <f t="shared" si="91"/>
        <v>-2142.557568228772</v>
      </c>
      <c r="BW89" s="10">
        <f t="shared" si="92"/>
        <v>-1118.7121805705785</v>
      </c>
      <c r="BX89" s="10">
        <f t="shared" si="101"/>
        <v>-3261.269748799351</v>
      </c>
      <c r="BY89" s="10">
        <f t="shared" si="102"/>
        <v>1323.341320351131</v>
      </c>
      <c r="CA89" s="10">
        <f>CA$5+SUM(CB$5:CB88)+SUM(R$5:R88)-SUM(S$5:S88)-SUM(CC$5:CC88)</f>
        <v>406827.0252094107</v>
      </c>
      <c r="CB89" s="10">
        <f t="shared" si="95"/>
        <v>2142.557568228772</v>
      </c>
      <c r="CC89" s="10">
        <f t="shared" si="96"/>
        <v>1937.92842844822</v>
      </c>
      <c r="CD89" s="10">
        <f t="shared" si="97"/>
        <v>-204.62913978055212</v>
      </c>
      <c r="CF89" s="44">
        <f t="shared" si="93"/>
        <v>0.6698</v>
      </c>
      <c r="CG89" s="10">
        <f t="shared" si="98"/>
        <v>-1298.02</v>
      </c>
      <c r="CH89" s="4">
        <f t="shared" si="103"/>
        <v>0</v>
      </c>
    </row>
    <row r="90" spans="1:86" ht="15.75">
      <c r="A90" s="36"/>
      <c r="B90" s="37">
        <v>39845</v>
      </c>
      <c r="C90" s="77">
        <f t="shared" si="84"/>
        <v>3.1131</v>
      </c>
      <c r="D90" s="78">
        <f>C90*(1+Podsumowanie!E$11)</f>
        <v>3.2064930000000005</v>
      </c>
      <c r="E90" s="34">
        <f t="shared" si="51"/>
        <v>-653.4364808381843</v>
      </c>
      <c r="F90" s="7">
        <f t="shared" si="81"/>
        <v>-2095.239501752272</v>
      </c>
      <c r="G90" s="7">
        <f t="shared" si="53"/>
        <v>-1441.2103540259673</v>
      </c>
      <c r="H90" s="7">
        <f t="shared" si="82"/>
        <v>654.0291477263049</v>
      </c>
      <c r="I90" s="32"/>
      <c r="J90" s="4" t="str">
        <f t="shared" si="104"/>
        <v xml:space="preserve"> </v>
      </c>
      <c r="K90" s="4">
        <f>IF(B90&lt;Podsumowanie!E$7,0,K89+1)</f>
        <v>20</v>
      </c>
      <c r="L90" s="100">
        <f t="shared" si="85"/>
        <v>0.0053</v>
      </c>
      <c r="M90" s="38">
        <f>L90+Podsumowanie!E$6</f>
        <v>0.0173</v>
      </c>
      <c r="N90" s="101">
        <f>MAX(Podsumowanie!E$4+SUM(AA$5:AA89)-SUM(X$5:X90)+SUM(W$5:W90),0)</f>
        <v>176324.67684526826</v>
      </c>
      <c r="O90" s="102">
        <f>MAX(Podsumowanie!E$2+SUM(V$5:V89)-SUM(S$5:S90)+SUM(R$5:R90),0)</f>
        <v>388899.2387044478</v>
      </c>
      <c r="P90" s="39">
        <f t="shared" si="56"/>
        <v>360</v>
      </c>
      <c r="Q90" s="40" t="str">
        <f>IF(AND(K90&gt;0,K90&lt;=Podsumowanie!E$9),"tak","nie")</f>
        <v>nie</v>
      </c>
      <c r="R90" s="41"/>
      <c r="S90" s="42"/>
      <c r="T90" s="88">
        <f t="shared" si="57"/>
        <v>-560.6630691322456</v>
      </c>
      <c r="U90" s="89">
        <f>IF(Q90="tak",T90,IF(P90-SUM(AB$5:AB90)+1&gt;0,IF(Podsumowanie!E$7&lt;B90,IF(SUM(AB$5:AB90)-Podsumowanie!E$9+1&gt;0,PMT(M90/12,P90+1-SUM(AB$5:AB90),O90),T90),0),0))</f>
        <v>-1441.2103540259673</v>
      </c>
      <c r="V90" s="89">
        <f t="shared" si="83"/>
        <v>-880.5472848937217</v>
      </c>
      <c r="W90" s="90" t="str">
        <f>IF(R90&gt;0,R90/(C90*(1-Podsumowanie!E$11))," ")</f>
        <v xml:space="preserve"> </v>
      </c>
      <c r="X90" s="90" t="str">
        <f t="shared" si="105"/>
        <v xml:space="preserve"> </v>
      </c>
      <c r="Y90" s="91">
        <f t="shared" si="109"/>
        <v>-254.20140911859505</v>
      </c>
      <c r="Z90" s="90">
        <f>IF(P90-SUM(AB$5:AB90)+1&gt;0,IF(Podsumowanie!E$7&lt;B90,IF(SUM(AB$5:AB90)-Podsumowanie!E$9+1&gt;0,PMT(M90/12,P90+1-SUM(AB$5:AB90),N90),Y90),0),0)</f>
        <v>-653.4364808381843</v>
      </c>
      <c r="AA90" s="90">
        <f t="shared" si="79"/>
        <v>-399.2350717195892</v>
      </c>
      <c r="AB90" s="8">
        <f>IF(AND(Podsumowanie!E$7&lt;B90,SUM(AB$5:AB89)&lt;P89),1," ")</f>
        <v>1</v>
      </c>
      <c r="AD90" s="10">
        <f>Podsumowanie!E$4-SUM(AF$5:AF89)+SUM(W$42:W90)-SUM(X$42:X90)</f>
        <v>172264.6381355522</v>
      </c>
      <c r="AE90" s="10">
        <f t="shared" si="61"/>
        <v>248.35</v>
      </c>
      <c r="AF90" s="10">
        <f t="shared" si="62"/>
        <v>505.17</v>
      </c>
      <c r="AG90" s="10">
        <f t="shared" si="63"/>
        <v>753.52</v>
      </c>
      <c r="AH90" s="10">
        <f t="shared" si="106"/>
        <v>2416.16</v>
      </c>
      <c r="AI90" s="10">
        <f>Podsumowanie!E$2-SUM(AK$5:AK89)+SUM(R$42:R90)-SUM(S$42:S90)</f>
        <v>379944.22000000003</v>
      </c>
      <c r="AJ90" s="10">
        <f t="shared" si="65"/>
        <v>547.75</v>
      </c>
      <c r="AK90" s="10">
        <f t="shared" si="66"/>
        <v>1114.21</v>
      </c>
      <c r="AL90" s="10">
        <f t="shared" si="67"/>
        <v>1661.96</v>
      </c>
      <c r="AM90" s="10">
        <f t="shared" si="68"/>
        <v>754.1999999999998</v>
      </c>
      <c r="AO90" s="43">
        <f t="shared" si="107"/>
        <v>39845</v>
      </c>
      <c r="AP90" s="11">
        <f>AP$5+SUM(AS$5:AS89)-SUM(X$5:X90)+SUM(W$5:W90)</f>
        <v>171034.9365399102</v>
      </c>
      <c r="AQ90" s="10">
        <f t="shared" si="70"/>
        <v>-246.57536684503722</v>
      </c>
      <c r="AR90" s="10">
        <f>IF(AB90=1,IF(Q90="tak",AQ90,PMT(M90/12,P90+1-SUM(AB$5:AB90),AP90)),0)</f>
        <v>-633.8333864130387</v>
      </c>
      <c r="AS90" s="10">
        <f t="shared" si="71"/>
        <v>-387.2580195680015</v>
      </c>
      <c r="AT90" s="10">
        <f t="shared" si="72"/>
        <v>-1973.186715242431</v>
      </c>
      <c r="AV90" s="11">
        <f>AV$5+SUM(AX$5:AX89)+SUM(W$5:W89)-SUM(X$5:X89)</f>
        <v>167096.60719148561</v>
      </c>
      <c r="AW90" s="11">
        <f t="shared" si="73"/>
        <v>-246.57536684503722</v>
      </c>
      <c r="AX90" s="11">
        <f t="shared" si="74"/>
        <v>-490.02</v>
      </c>
      <c r="AY90" s="11">
        <f t="shared" si="75"/>
        <v>-736.5953668450372</v>
      </c>
      <c r="AZ90" s="11">
        <f t="shared" si="108"/>
        <v>-2293.0950365252856</v>
      </c>
      <c r="BB90" s="191">
        <f t="shared" si="86"/>
        <v>0.0469</v>
      </c>
      <c r="BC90" s="44">
        <f>BB90+Podsumowanie!$E$6</f>
        <v>0.058899999999999994</v>
      </c>
      <c r="BD90" s="11">
        <f>BD$5+SUM(BE$5:BE89)+SUM(R$5:R89)-SUM(S$5:S89)</f>
        <v>394001.63049605954</v>
      </c>
      <c r="BE90" s="10">
        <f t="shared" si="80"/>
        <v>-445.9711379800415</v>
      </c>
      <c r="BF90" s="10">
        <f t="shared" si="78"/>
        <v>-1933.891336351492</v>
      </c>
      <c r="BG90" s="10">
        <f>IF(U90&lt;0,PMT(BC90/12,Podsumowanie!E$8-SUM(AB$5:AB90)+1,BD90),0)</f>
        <v>-2379.8624743315336</v>
      </c>
      <c r="BI90" s="11">
        <f>BI$5+SUM(BK$5:BK89)+SUM(R$5:R89)-SUM(S$5:S89)</f>
        <v>379944.28969359334</v>
      </c>
      <c r="BJ90" s="11">
        <f t="shared" si="87"/>
        <v>-1864.8932219127203</v>
      </c>
      <c r="BK90" s="11">
        <f t="shared" si="88"/>
        <v>-1114.2061281337049</v>
      </c>
      <c r="BL90" s="11">
        <f t="shared" si="89"/>
        <v>-2979.099350046425</v>
      </c>
      <c r="BN90" s="44">
        <f t="shared" si="90"/>
        <v>0.059</v>
      </c>
      <c r="BO90" s="11">
        <f>BO$5+SUM(BP$5:BP89)+SUM(R$5:R89)-SUM(S$5:S89)+SUM(BS$5:BS89)</f>
        <v>408276.7358274626</v>
      </c>
      <c r="BP90" s="10">
        <f t="shared" si="99"/>
        <v>-461.3014863220735</v>
      </c>
      <c r="BQ90" s="10">
        <f t="shared" si="100"/>
        <v>-2007.3606178183575</v>
      </c>
      <c r="BR90" s="10">
        <f>IF(U90&lt;0,PMT(BN90/12,Podsumowanie!E$8-SUM(AB$5:AB90)+1,BO90),0)</f>
        <v>-2468.662104140431</v>
      </c>
      <c r="BS90" s="10">
        <f t="shared" si="94"/>
        <v>373.4226023881588</v>
      </c>
      <c r="BU90" s="11">
        <f>BU$5+SUM(BW$5:BW89)+SUM(R$5:R89)-SUM(S$5:S89)+SUM(BY$5,BY89)</f>
        <v>381195.23934015224</v>
      </c>
      <c r="BV90" s="10">
        <f t="shared" si="91"/>
        <v>-1874.2099267557485</v>
      </c>
      <c r="BW90" s="10">
        <f t="shared" si="92"/>
        <v>-1117.8746021705344</v>
      </c>
      <c r="BX90" s="10">
        <f t="shared" si="101"/>
        <v>-2992.084528926283</v>
      </c>
      <c r="BY90" s="10">
        <f t="shared" si="102"/>
        <v>896.8450271740107</v>
      </c>
      <c r="CA90" s="10">
        <f>CA$5+SUM(CB$5:CB89)+SUM(R$5:R89)-SUM(S$5:S89)-SUM(CC$5:CC89)</f>
        <v>407031.6543491913</v>
      </c>
      <c r="CB90" s="10">
        <f t="shared" si="95"/>
        <v>1874.2099267557485</v>
      </c>
      <c r="CC90" s="10">
        <f t="shared" si="96"/>
        <v>2095.239501752272</v>
      </c>
      <c r="CD90" s="10">
        <f t="shared" si="97"/>
        <v>221.0295749965237</v>
      </c>
      <c r="CF90" s="44">
        <f t="shared" si="93"/>
        <v>0.6549</v>
      </c>
      <c r="CG90" s="10">
        <f t="shared" si="98"/>
        <v>-1372.17</v>
      </c>
      <c r="CH90" s="4">
        <f t="shared" si="103"/>
        <v>0</v>
      </c>
    </row>
    <row r="91" spans="1:86" ht="15.75">
      <c r="A91" s="36"/>
      <c r="B91" s="37">
        <v>39873</v>
      </c>
      <c r="C91" s="77">
        <f t="shared" si="84"/>
        <v>3.0687</v>
      </c>
      <c r="D91" s="78">
        <f>C91*(1+Podsumowanie!E$11)</f>
        <v>3.1607610000000004</v>
      </c>
      <c r="E91" s="34">
        <f t="shared" si="51"/>
        <v>-653.4364808381841</v>
      </c>
      <c r="F91" s="7">
        <f t="shared" si="81"/>
        <v>-2065.35654461058</v>
      </c>
      <c r="G91" s="7">
        <f t="shared" si="53"/>
        <v>-1441.2103540259673</v>
      </c>
      <c r="H91" s="7">
        <f t="shared" si="82"/>
        <v>624.1461905846127</v>
      </c>
      <c r="I91" s="32"/>
      <c r="J91" s="4" t="str">
        <f t="shared" si="104"/>
        <v xml:space="preserve"> </v>
      </c>
      <c r="K91" s="4">
        <f>IF(B91&lt;Podsumowanie!E$7,0,K90+1)</f>
        <v>21</v>
      </c>
      <c r="L91" s="100">
        <f t="shared" si="85"/>
        <v>0.0053</v>
      </c>
      <c r="M91" s="38">
        <f>L91+Podsumowanie!E$6</f>
        <v>0.0173</v>
      </c>
      <c r="N91" s="101">
        <f>MAX(Podsumowanie!E$4+SUM(AA$5:AA90)-SUM(X$5:X91)+SUM(W$5:W91),0)</f>
        <v>175925.44177354866</v>
      </c>
      <c r="O91" s="102">
        <f>MAX(Podsumowanie!E$2+SUM(V$5:V90)-SUM(S$5:S91)+SUM(R$5:R91),0)</f>
        <v>388018.69141955406</v>
      </c>
      <c r="P91" s="39">
        <f t="shared" si="56"/>
        <v>360</v>
      </c>
      <c r="Q91" s="40" t="str">
        <f>IF(AND(K91&gt;0,K91&lt;=Podsumowanie!E$9),"tak","nie")</f>
        <v>nie</v>
      </c>
      <c r="R91" s="41"/>
      <c r="S91" s="42"/>
      <c r="T91" s="88">
        <f t="shared" si="57"/>
        <v>-559.3936134631905</v>
      </c>
      <c r="U91" s="89">
        <f>IF(Q91="tak",T91,IF(P91-SUM(AB$5:AB91)+1&gt;0,IF(Podsumowanie!E$7&lt;B91,IF(SUM(AB$5:AB91)-Podsumowanie!E$9+1&gt;0,PMT(M91/12,P91+1-SUM(AB$5:AB91),O91),T91),0),0))</f>
        <v>-1441.2103540259673</v>
      </c>
      <c r="V91" s="89">
        <f t="shared" si="83"/>
        <v>-881.8167405627768</v>
      </c>
      <c r="W91" s="90" t="str">
        <f>IF(R91&gt;0,R91/(C91*(1-Podsumowanie!E$11))," ")</f>
        <v xml:space="preserve"> </v>
      </c>
      <c r="X91" s="90" t="str">
        <f t="shared" si="105"/>
        <v xml:space="preserve"> </v>
      </c>
      <c r="Y91" s="91">
        <f t="shared" si="109"/>
        <v>-253.62584522353265</v>
      </c>
      <c r="Z91" s="90">
        <f>IF(P91-SUM(AB$5:AB91)+1&gt;0,IF(Podsumowanie!E$7&lt;B91,IF(SUM(AB$5:AB91)-Podsumowanie!E$9+1&gt;0,PMT(M91/12,P91+1-SUM(AB$5:AB91),N91),Y91),0),0)</f>
        <v>-653.4364808381841</v>
      </c>
      <c r="AA91" s="90">
        <f t="shared" si="79"/>
        <v>-399.81063561465146</v>
      </c>
      <c r="AB91" s="8">
        <f>IF(AND(Podsumowanie!E$7&lt;B91,SUM(AB$5:AB90)&lt;P90),1," ")</f>
        <v>1</v>
      </c>
      <c r="AD91" s="10">
        <f>Podsumowanie!E$4-SUM(AF$5:AF90)+SUM(W$42:W91)-SUM(X$42:X91)</f>
        <v>171759.4681355522</v>
      </c>
      <c r="AE91" s="10">
        <f t="shared" si="61"/>
        <v>247.62</v>
      </c>
      <c r="AF91" s="10">
        <f t="shared" si="62"/>
        <v>505.17</v>
      </c>
      <c r="AG91" s="10">
        <f t="shared" si="63"/>
        <v>752.79</v>
      </c>
      <c r="AH91" s="10">
        <f t="shared" si="106"/>
        <v>2379.39</v>
      </c>
      <c r="AI91" s="10">
        <f>Podsumowanie!E$2-SUM(AK$5:AK90)+SUM(R$42:R91)-SUM(S$42:S91)</f>
        <v>378830.01</v>
      </c>
      <c r="AJ91" s="10">
        <f t="shared" si="65"/>
        <v>546.15</v>
      </c>
      <c r="AK91" s="10">
        <f t="shared" si="66"/>
        <v>1114.21</v>
      </c>
      <c r="AL91" s="10">
        <f t="shared" si="67"/>
        <v>1660.3600000000001</v>
      </c>
      <c r="AM91" s="10">
        <f t="shared" si="68"/>
        <v>719.0299999999997</v>
      </c>
      <c r="AO91" s="43">
        <f t="shared" si="107"/>
        <v>39873</v>
      </c>
      <c r="AP91" s="11">
        <f>AP$5+SUM(AS$5:AS90)-SUM(X$5:X91)+SUM(W$5:W91)</f>
        <v>170647.6785203422</v>
      </c>
      <c r="AQ91" s="10">
        <f t="shared" si="70"/>
        <v>-246.01706986682666</v>
      </c>
      <c r="AR91" s="10">
        <f>IF(AB91=1,IF(Q91="tak",AQ91,PMT(M91/12,P91+1-SUM(AB$5:AB91),AP91)),0)</f>
        <v>-633.8333864130386</v>
      </c>
      <c r="AS91" s="10">
        <f t="shared" si="71"/>
        <v>-387.81631654621197</v>
      </c>
      <c r="AT91" s="10">
        <f t="shared" si="72"/>
        <v>-1945.0445128856918</v>
      </c>
      <c r="AV91" s="11">
        <f>AV$5+SUM(AX$5:AX90)+SUM(W$5:W90)-SUM(X$5:X90)</f>
        <v>166606.58719148563</v>
      </c>
      <c r="AW91" s="11">
        <f t="shared" si="73"/>
        <v>-246.01706986682666</v>
      </c>
      <c r="AX91" s="11">
        <f t="shared" si="74"/>
        <v>-490.02</v>
      </c>
      <c r="AY91" s="11">
        <f t="shared" si="75"/>
        <v>-736.0370698668266</v>
      </c>
      <c r="AZ91" s="11">
        <f t="shared" si="108"/>
        <v>-2258.676956300331</v>
      </c>
      <c r="BB91" s="191">
        <f t="shared" si="86"/>
        <v>0.043</v>
      </c>
      <c r="BC91" s="44">
        <f>BB91+Podsumowanie!$E$6</f>
        <v>0.05499999999999999</v>
      </c>
      <c r="BD91" s="11">
        <f>BD$5+SUM(BE$5:BE90)+SUM(R$5:R90)-SUM(S$5:S90)</f>
        <v>393555.6593580795</v>
      </c>
      <c r="BE91" s="10">
        <f t="shared" si="80"/>
        <v>-480.28123264590954</v>
      </c>
      <c r="BF91" s="10">
        <f t="shared" si="78"/>
        <v>-1803.7967720578642</v>
      </c>
      <c r="BG91" s="10">
        <f>IF(U91&lt;0,PMT(BC91/12,Podsumowanie!E$8-SUM(AB$5:AB91)+1,BD91),0)</f>
        <v>-2284.078004703774</v>
      </c>
      <c r="BI91" s="11">
        <f>BI$5+SUM(BK$5:BK90)+SUM(R$5:R90)-SUM(S$5:S90)</f>
        <v>378830.0835654596</v>
      </c>
      <c r="BJ91" s="11">
        <f t="shared" si="87"/>
        <v>-1736.3045496750228</v>
      </c>
      <c r="BK91" s="11">
        <f t="shared" si="88"/>
        <v>-1114.2061281337046</v>
      </c>
      <c r="BL91" s="11">
        <f t="shared" si="89"/>
        <v>-2850.5106778087275</v>
      </c>
      <c r="BN91" s="44">
        <f t="shared" si="90"/>
        <v>0.055099999999999996</v>
      </c>
      <c r="BO91" s="11">
        <f>BO$5+SUM(BP$5:BP90)+SUM(R$5:R90)-SUM(S$5:S90)+SUM(BS$5:BS90)</f>
        <v>408188.8569435287</v>
      </c>
      <c r="BP91" s="10">
        <f t="shared" si="99"/>
        <v>-497.261128742849</v>
      </c>
      <c r="BQ91" s="10">
        <f t="shared" si="100"/>
        <v>-1874.267168132369</v>
      </c>
      <c r="BR91" s="10">
        <f>IF(U91&lt;0,PMT(BN91/12,Podsumowanie!E$8-SUM(AB$5:AB91)+1,BO91),0)</f>
        <v>-2371.528296875218</v>
      </c>
      <c r="BS91" s="10">
        <f t="shared" si="94"/>
        <v>306.17175226463814</v>
      </c>
      <c r="BU91" s="11">
        <f>BU$5+SUM(BW$5:BW90)+SUM(R$5:R90)-SUM(S$5:S90)+SUM(BY$5,BY90)</f>
        <v>379650.8684448046</v>
      </c>
      <c r="BV91" s="10">
        <f t="shared" si="91"/>
        <v>-1743.230237609061</v>
      </c>
      <c r="BW91" s="10">
        <f t="shared" si="92"/>
        <v>-1116.6202013082489</v>
      </c>
      <c r="BX91" s="10">
        <f t="shared" si="101"/>
        <v>-2859.85043891731</v>
      </c>
      <c r="BY91" s="10">
        <f t="shared" si="102"/>
        <v>794.49389430673</v>
      </c>
      <c r="CA91" s="10">
        <f>CA$5+SUM(CB$5:CB90)+SUM(R$5:R90)-SUM(S$5:S90)-SUM(CC$5:CC90)</f>
        <v>406810.6247741948</v>
      </c>
      <c r="CB91" s="10">
        <f t="shared" si="95"/>
        <v>1743.230237609061</v>
      </c>
      <c r="CC91" s="10">
        <f t="shared" si="96"/>
        <v>2065.35654461058</v>
      </c>
      <c r="CD91" s="10">
        <f t="shared" si="97"/>
        <v>322.12630700151885</v>
      </c>
      <c r="CF91" s="44">
        <f t="shared" si="93"/>
        <v>0.6434</v>
      </c>
      <c r="CG91" s="10">
        <f t="shared" si="98"/>
        <v>-1328.85</v>
      </c>
      <c r="CH91" s="4">
        <f t="shared" si="103"/>
        <v>0</v>
      </c>
    </row>
    <row r="92" spans="1:86" ht="15.75">
      <c r="A92" s="36"/>
      <c r="B92" s="37">
        <v>39904</v>
      </c>
      <c r="C92" s="77">
        <f t="shared" si="84"/>
        <v>2.9129</v>
      </c>
      <c r="D92" s="78">
        <f>C92*(1+Podsumowanie!E$11)</f>
        <v>3.000287</v>
      </c>
      <c r="E92" s="34">
        <f t="shared" si="51"/>
        <v>-642.4183616215554</v>
      </c>
      <c r="F92" s="7">
        <f t="shared" si="81"/>
        <v>-1927.4394589344517</v>
      </c>
      <c r="G92" s="7">
        <f t="shared" si="53"/>
        <v>-1416.9089445354396</v>
      </c>
      <c r="H92" s="7">
        <f t="shared" si="82"/>
        <v>510.5305143990122</v>
      </c>
      <c r="I92" s="32"/>
      <c r="J92" s="4" t="str">
        <f t="shared" si="104"/>
        <v xml:space="preserve"> </v>
      </c>
      <c r="K92" s="4">
        <f>IF(B92&lt;Podsumowanie!E$7,0,K91+1)</f>
        <v>22</v>
      </c>
      <c r="L92" s="100">
        <f t="shared" si="85"/>
        <v>0.004</v>
      </c>
      <c r="M92" s="38">
        <f>L92+Podsumowanie!E$6</f>
        <v>0.016</v>
      </c>
      <c r="N92" s="101">
        <f>MAX(Podsumowanie!E$4+SUM(AA$5:AA91)-SUM(X$5:X92)+SUM(W$5:W92),0)</f>
        <v>175525.63113793402</v>
      </c>
      <c r="O92" s="102">
        <f>MAX(Podsumowanie!E$2+SUM(V$5:V91)-SUM(S$5:S92)+SUM(R$5:R92),0)</f>
        <v>387136.87467899127</v>
      </c>
      <c r="P92" s="39">
        <f t="shared" si="56"/>
        <v>360</v>
      </c>
      <c r="Q92" s="40" t="str">
        <f>IF(AND(K92&gt;0,K92&lt;=Podsumowanie!E$9),"tak","nie")</f>
        <v>nie</v>
      </c>
      <c r="R92" s="41"/>
      <c r="S92" s="42"/>
      <c r="T92" s="88">
        <f t="shared" si="57"/>
        <v>-516.1824995719884</v>
      </c>
      <c r="U92" s="89">
        <f>IF(Q92="tak",T92,IF(P92-SUM(AB$5:AB92)+1&gt;0,IF(Podsumowanie!E$7&lt;B92,IF(SUM(AB$5:AB92)-Podsumowanie!E$9+1&gt;0,PMT(M92/12,P92+1-SUM(AB$5:AB92),O92),T92),0),0))</f>
        <v>-1416.9089445354396</v>
      </c>
      <c r="V92" s="89">
        <f t="shared" si="83"/>
        <v>-900.7264449634512</v>
      </c>
      <c r="W92" s="90" t="str">
        <f>IF(R92&gt;0,R92/(C92*(1-Podsumowanie!E$11))," ")</f>
        <v xml:space="preserve"> </v>
      </c>
      <c r="X92" s="90" t="str">
        <f t="shared" si="105"/>
        <v xml:space="preserve"> </v>
      </c>
      <c r="Y92" s="91">
        <f t="shared" si="109"/>
        <v>-234.0341748505787</v>
      </c>
      <c r="Z92" s="90">
        <f>IF(P92-SUM(AB$5:AB92)+1&gt;0,IF(Podsumowanie!E$7&lt;B92,IF(SUM(AB$5:AB92)-Podsumowanie!E$9+1&gt;0,PMT(M92/12,P92+1-SUM(AB$5:AB92),N92),Y92),0),0)</f>
        <v>-642.4183616215554</v>
      </c>
      <c r="AA92" s="90">
        <f t="shared" si="79"/>
        <v>-408.3841867709767</v>
      </c>
      <c r="AB92" s="8">
        <f>IF(AND(Podsumowanie!E$7&lt;B92,SUM(AB$5:AB91)&lt;P91),1," ")</f>
        <v>1</v>
      </c>
      <c r="AD92" s="10">
        <f>Podsumowanie!E$4-SUM(AF$5:AF91)+SUM(W$42:W92)-SUM(X$42:X92)</f>
        <v>171254.2981355522</v>
      </c>
      <c r="AE92" s="10">
        <f t="shared" si="61"/>
        <v>228.34</v>
      </c>
      <c r="AF92" s="10">
        <f t="shared" si="62"/>
        <v>505.17</v>
      </c>
      <c r="AG92" s="10">
        <f t="shared" si="63"/>
        <v>733.51</v>
      </c>
      <c r="AH92" s="10">
        <f t="shared" si="106"/>
        <v>2200.74</v>
      </c>
      <c r="AI92" s="10">
        <f>Podsumowanie!E$2-SUM(AK$5:AK91)+SUM(R$42:R92)-SUM(S$42:S92)</f>
        <v>377715.8</v>
      </c>
      <c r="AJ92" s="10">
        <f t="shared" si="65"/>
        <v>503.62</v>
      </c>
      <c r="AK92" s="10">
        <f t="shared" si="66"/>
        <v>1114.21</v>
      </c>
      <c r="AL92" s="10">
        <f t="shared" si="67"/>
        <v>1617.83</v>
      </c>
      <c r="AM92" s="10">
        <f t="shared" si="68"/>
        <v>582.9099999999999</v>
      </c>
      <c r="AO92" s="43">
        <f t="shared" si="107"/>
        <v>39904</v>
      </c>
      <c r="AP92" s="11">
        <f>AP$5+SUM(AS$5:AS91)-SUM(X$5:X92)+SUM(W$5:W92)</f>
        <v>170259.862203796</v>
      </c>
      <c r="AQ92" s="10">
        <f t="shared" si="70"/>
        <v>-227.01314960506133</v>
      </c>
      <c r="AR92" s="10">
        <f>IF(AB92=1,IF(Q92="tak",AQ92,PMT(M92/12,P92+1-SUM(AB$5:AB92),AP92)),0)</f>
        <v>-623.1458107729087</v>
      </c>
      <c r="AS92" s="10">
        <f t="shared" si="71"/>
        <v>-396.13266116784735</v>
      </c>
      <c r="AT92" s="10">
        <f t="shared" si="72"/>
        <v>-1815.161432200406</v>
      </c>
      <c r="AV92" s="11">
        <f>AV$5+SUM(AX$5:AX91)+SUM(W$5:W91)-SUM(X$5:X91)</f>
        <v>166116.56719148564</v>
      </c>
      <c r="AW92" s="11">
        <f t="shared" si="73"/>
        <v>-227.01314960506133</v>
      </c>
      <c r="AX92" s="11">
        <f t="shared" si="74"/>
        <v>-490.02</v>
      </c>
      <c r="AY92" s="11">
        <f t="shared" si="75"/>
        <v>-717.0331496050613</v>
      </c>
      <c r="AZ92" s="11">
        <f t="shared" si="108"/>
        <v>-2088.6458614845833</v>
      </c>
      <c r="BB92" s="191">
        <f t="shared" si="86"/>
        <v>0.042</v>
      </c>
      <c r="BC92" s="44">
        <f>BB92+Podsumowanie!$E$6</f>
        <v>0.054000000000000006</v>
      </c>
      <c r="BD92" s="11">
        <f>BD$5+SUM(BE$5:BE91)+SUM(R$5:R91)-SUM(S$5:S91)</f>
        <v>393075.3781254336</v>
      </c>
      <c r="BE92" s="10">
        <f t="shared" si="80"/>
        <v>-491.02322270441937</v>
      </c>
      <c r="BF92" s="10">
        <f t="shared" si="78"/>
        <v>-1768.8392015644513</v>
      </c>
      <c r="BG92" s="10">
        <f>IF(U92&lt;0,PMT(BC92/12,Podsumowanie!E$8-SUM(AB$5:AB92)+1,BD92),0)</f>
        <v>-2259.8624242688707</v>
      </c>
      <c r="BI92" s="11">
        <f>BI$5+SUM(BK$5:BK91)+SUM(R$5:R91)-SUM(S$5:S91)</f>
        <v>377715.8774373259</v>
      </c>
      <c r="BJ92" s="11">
        <f t="shared" si="87"/>
        <v>-1699.7214484679669</v>
      </c>
      <c r="BK92" s="11">
        <f t="shared" si="88"/>
        <v>-1114.2061281337046</v>
      </c>
      <c r="BL92" s="11">
        <f t="shared" si="89"/>
        <v>-2813.9275766016717</v>
      </c>
      <c r="BN92" s="44">
        <f t="shared" si="90"/>
        <v>0.0541</v>
      </c>
      <c r="BO92" s="11">
        <f>BO$5+SUM(BP$5:BP91)+SUM(R$5:R91)-SUM(S$5:S91)+SUM(BS$5:BS91)</f>
        <v>407997.76756705047</v>
      </c>
      <c r="BP92" s="10">
        <f t="shared" si="99"/>
        <v>-508.77183462544895</v>
      </c>
      <c r="BQ92" s="10">
        <f t="shared" si="100"/>
        <v>-1839.3899354481193</v>
      </c>
      <c r="BR92" s="10">
        <f>IF(U92&lt;0,PMT(BN92/12,Podsumowanie!E$8-SUM(AB$5:AB92)+1,BO92),0)</f>
        <v>-2348.1617700735683</v>
      </c>
      <c r="BS92" s="10">
        <f t="shared" si="94"/>
        <v>420.7223111391165</v>
      </c>
      <c r="BU92" s="11">
        <f>BU$5+SUM(BW$5:BW91)+SUM(R$5:R91)-SUM(S$5:S91)+SUM(BY$5,BY91)</f>
        <v>378431.89711062907</v>
      </c>
      <c r="BV92" s="10">
        <f t="shared" si="91"/>
        <v>-1706.0971361404193</v>
      </c>
      <c r="BW92" s="10">
        <f t="shared" si="92"/>
        <v>-1116.3182805623276</v>
      </c>
      <c r="BX92" s="10">
        <f t="shared" si="101"/>
        <v>-2822.415416702747</v>
      </c>
      <c r="BY92" s="10">
        <f t="shared" si="102"/>
        <v>894.9759577682951</v>
      </c>
      <c r="CA92" s="10">
        <f>CA$5+SUM(CB$5:CB91)+SUM(R$5:R91)-SUM(S$5:S91)-SUM(CC$5:CC91)</f>
        <v>406488.4984671933</v>
      </c>
      <c r="CB92" s="10">
        <f t="shared" si="95"/>
        <v>1706.0971361404193</v>
      </c>
      <c r="CC92" s="10">
        <f t="shared" si="96"/>
        <v>1927.4394589344517</v>
      </c>
      <c r="CD92" s="10">
        <f t="shared" si="97"/>
        <v>221.3423227940325</v>
      </c>
      <c r="CF92" s="44">
        <f t="shared" si="93"/>
        <v>0.632</v>
      </c>
      <c r="CG92" s="10">
        <f t="shared" si="98"/>
        <v>-1218.14</v>
      </c>
      <c r="CH92" s="4">
        <f t="shared" si="103"/>
        <v>0</v>
      </c>
    </row>
    <row r="93" spans="1:86" ht="15.75">
      <c r="A93" s="36"/>
      <c r="B93" s="37">
        <v>39934</v>
      </c>
      <c r="C93" s="77">
        <f t="shared" si="84"/>
        <v>2.9168</v>
      </c>
      <c r="D93" s="78">
        <f>C93*(1+Podsumowanie!E$11)</f>
        <v>3.004304</v>
      </c>
      <c r="E93" s="34">
        <f t="shared" si="51"/>
        <v>-642.4183616215553</v>
      </c>
      <c r="F93" s="7">
        <f t="shared" si="81"/>
        <v>-1930.020053493085</v>
      </c>
      <c r="G93" s="7">
        <f t="shared" si="53"/>
        <v>-1416.9089445354396</v>
      </c>
      <c r="H93" s="7">
        <f t="shared" si="82"/>
        <v>513.1111089576455</v>
      </c>
      <c r="I93" s="32"/>
      <c r="J93" s="4" t="str">
        <f t="shared" si="104"/>
        <v xml:space="preserve"> </v>
      </c>
      <c r="K93" s="4">
        <f>IF(B93&lt;Podsumowanie!E$7,0,K92+1)</f>
        <v>23</v>
      </c>
      <c r="L93" s="100">
        <f t="shared" si="85"/>
        <v>0.004</v>
      </c>
      <c r="M93" s="38">
        <f>L93+Podsumowanie!E$6</f>
        <v>0.016</v>
      </c>
      <c r="N93" s="101">
        <f>MAX(Podsumowanie!E$4+SUM(AA$5:AA92)-SUM(X$5:X93)+SUM(W$5:W93),0)</f>
        <v>175117.24695116302</v>
      </c>
      <c r="O93" s="102">
        <f>MAX(Podsumowanie!E$2+SUM(V$5:V92)-SUM(S$5:S93)+SUM(R$5:R93),0)</f>
        <v>386236.14823402785</v>
      </c>
      <c r="P93" s="39">
        <f>P92</f>
        <v>360</v>
      </c>
      <c r="Q93" s="40" t="str">
        <f>IF(AND(K93&gt;0,K93&lt;=Podsumowanie!E$9),"tak","nie")</f>
        <v>nie</v>
      </c>
      <c r="R93" s="41"/>
      <c r="S93" s="42"/>
      <c r="T93" s="88">
        <f t="shared" si="57"/>
        <v>-514.9815309787037</v>
      </c>
      <c r="U93" s="89">
        <f>IF(Q93="tak",T93,IF(P93-SUM(AB$5:AB93)+1&gt;0,IF(Podsumowanie!E$7&lt;B93,IF(SUM(AB$5:AB93)-Podsumowanie!E$9+1&gt;0,PMT(M93/12,P93+1-SUM(AB$5:AB93),O93),T93),0),0))</f>
        <v>-1416.9089445354396</v>
      </c>
      <c r="V93" s="89">
        <f t="shared" si="83"/>
        <v>-901.9274135567358</v>
      </c>
      <c r="W93" s="90" t="str">
        <f>IF(R93&gt;0,R93/(C93*(1-Podsumowanie!E$11))," ")</f>
        <v xml:space="preserve"> </v>
      </c>
      <c r="X93" s="90" t="str">
        <f t="shared" si="105"/>
        <v xml:space="preserve"> </v>
      </c>
      <c r="Y93" s="91">
        <f t="shared" si="109"/>
        <v>-233.4896626015507</v>
      </c>
      <c r="Z93" s="90">
        <f>IF(P93-SUM(AB$5:AB93)+1&gt;0,IF(Podsumowanie!E$7&lt;B93,IF(SUM(AB$5:AB93)-Podsumowanie!E$9+1&gt;0,PMT(M93/12,P93+1-SUM(AB$5:AB93),N93),Y93),0),0)</f>
        <v>-642.4183616215553</v>
      </c>
      <c r="AA93" s="90">
        <f t="shared" si="79"/>
        <v>-408.9286990200046</v>
      </c>
      <c r="AB93" s="8">
        <f>IF(AND(Podsumowanie!E$7&lt;B93,SUM(AB$5:AB92)&lt;P92),1," ")</f>
        <v>1</v>
      </c>
      <c r="AD93" s="10">
        <f>Podsumowanie!E$4-SUM(AF$5:AF92)+SUM(W$42:W93)-SUM(X$42:X93)</f>
        <v>170749.1281355522</v>
      </c>
      <c r="AE93" s="10">
        <f t="shared" si="61"/>
        <v>227.67</v>
      </c>
      <c r="AF93" s="10">
        <f t="shared" si="62"/>
        <v>505.17</v>
      </c>
      <c r="AG93" s="10">
        <f t="shared" si="63"/>
        <v>732.84</v>
      </c>
      <c r="AH93" s="10">
        <f t="shared" si="106"/>
        <v>2201.67</v>
      </c>
      <c r="AI93" s="10">
        <f>Podsumowanie!E$2-SUM(AK$5:AK92)+SUM(R$42:R93)-SUM(S$42:S93)</f>
        <v>376601.59</v>
      </c>
      <c r="AJ93" s="10">
        <f t="shared" si="65"/>
        <v>502.14</v>
      </c>
      <c r="AK93" s="10">
        <f t="shared" si="66"/>
        <v>1114.21</v>
      </c>
      <c r="AL93" s="10">
        <f t="shared" si="67"/>
        <v>1616.35</v>
      </c>
      <c r="AM93" s="10">
        <f t="shared" si="68"/>
        <v>585.3200000000002</v>
      </c>
      <c r="AO93" s="43">
        <f t="shared" si="107"/>
        <v>39934</v>
      </c>
      <c r="AP93" s="11">
        <f>AP$5+SUM(AS$5:AS92)-SUM(X$5:X93)+SUM(W$5:W93)</f>
        <v>169863.72954262813</v>
      </c>
      <c r="AQ93" s="10">
        <f t="shared" si="70"/>
        <v>-226.48497272350417</v>
      </c>
      <c r="AR93" s="10">
        <f>IF(AB93=1,IF(Q93="tak",AQ93,PMT(M93/12,P93+1-SUM(AB$5:AB93),AP93)),0)</f>
        <v>-623.1458107729086</v>
      </c>
      <c r="AS93" s="10">
        <f t="shared" si="71"/>
        <v>-396.66083804940445</v>
      </c>
      <c r="AT93" s="10">
        <f t="shared" si="72"/>
        <v>-1817.5917008624197</v>
      </c>
      <c r="AV93" s="11">
        <f>AV$5+SUM(AX$5:AX92)+SUM(W$5:W92)-SUM(X$5:X92)</f>
        <v>165626.54719148562</v>
      </c>
      <c r="AW93" s="11">
        <f t="shared" si="73"/>
        <v>-226.48497272350417</v>
      </c>
      <c r="AX93" s="11">
        <f t="shared" si="74"/>
        <v>-490.02</v>
      </c>
      <c r="AY93" s="11">
        <f t="shared" si="75"/>
        <v>-716.5049727235041</v>
      </c>
      <c r="AZ93" s="11">
        <f t="shared" si="108"/>
        <v>-2089.9017044399166</v>
      </c>
      <c r="BB93" s="191">
        <f t="shared" si="86"/>
        <v>0.0452</v>
      </c>
      <c r="BC93" s="44">
        <f>BB93+Podsumowanie!$E$6</f>
        <v>0.0572</v>
      </c>
      <c r="BD93" s="11">
        <f>BD$5+SUM(BE$5:BE92)+SUM(R$5:R92)-SUM(S$5:S92)</f>
        <v>392584.35490272916</v>
      </c>
      <c r="BE93" s="10">
        <f t="shared" si="80"/>
        <v>-466.29877405576076</v>
      </c>
      <c r="BF93" s="10">
        <f t="shared" si="78"/>
        <v>-1871.3187583696756</v>
      </c>
      <c r="BG93" s="10">
        <f>IF(U93&lt;0,PMT(BC93/12,Podsumowanie!E$8-SUM(AB$5:AB93)+1,BD93),0)</f>
        <v>-2337.6175324254364</v>
      </c>
      <c r="BI93" s="11">
        <f>BI$5+SUM(BK$5:BK92)+SUM(R$5:R92)-SUM(S$5:S92)</f>
        <v>376601.6713091922</v>
      </c>
      <c r="BJ93" s="11">
        <f t="shared" si="87"/>
        <v>-1795.1346332404828</v>
      </c>
      <c r="BK93" s="11">
        <f t="shared" si="88"/>
        <v>-1114.2061281337046</v>
      </c>
      <c r="BL93" s="11">
        <f t="shared" si="89"/>
        <v>-2909.3407613741874</v>
      </c>
      <c r="BN93" s="44">
        <f t="shared" si="90"/>
        <v>0.0573</v>
      </c>
      <c r="BO93" s="11">
        <f>BO$5+SUM(BP$5:BP92)+SUM(R$5:R92)-SUM(S$5:S92)+SUM(BS$5:BS92)</f>
        <v>407909.7180435641</v>
      </c>
      <c r="BP93" s="10">
        <f t="shared" si="99"/>
        <v>-483.6477175171922</v>
      </c>
      <c r="BQ93" s="10">
        <f t="shared" si="100"/>
        <v>-1947.7689036580186</v>
      </c>
      <c r="BR93" s="10">
        <f>IF(U93&lt;0,PMT(BN93/12,Podsumowanie!E$8-SUM(AB$5:AB93)+1,BO93),0)</f>
        <v>-2431.416621175211</v>
      </c>
      <c r="BS93" s="10">
        <f t="shared" si="94"/>
        <v>501.3965676821258</v>
      </c>
      <c r="BU93" s="11">
        <f>BU$5+SUM(BW$5:BW92)+SUM(R$5:R92)-SUM(S$5:S92)+SUM(BY$5,BY92)</f>
        <v>377416.0608935283</v>
      </c>
      <c r="BV93" s="10">
        <f t="shared" si="91"/>
        <v>-1802.1616907665975</v>
      </c>
      <c r="BW93" s="10">
        <f t="shared" si="92"/>
        <v>-1116.6155647737523</v>
      </c>
      <c r="BX93" s="10">
        <f t="shared" si="101"/>
        <v>-2918.77725554035</v>
      </c>
      <c r="BY93" s="10">
        <f t="shared" si="102"/>
        <v>988.7572020472649</v>
      </c>
      <c r="CA93" s="10">
        <f>CA$5+SUM(CB$5:CB92)+SUM(R$5:R92)-SUM(S$5:S92)-SUM(CC$5:CC92)</f>
        <v>406267.1561443992</v>
      </c>
      <c r="CB93" s="10">
        <f t="shared" si="95"/>
        <v>1802.1616907665975</v>
      </c>
      <c r="CC93" s="10">
        <f t="shared" si="96"/>
        <v>1930.020053493085</v>
      </c>
      <c r="CD93" s="10">
        <f t="shared" si="97"/>
        <v>127.85836272648748</v>
      </c>
      <c r="CF93" s="44">
        <f t="shared" si="93"/>
        <v>0.6238</v>
      </c>
      <c r="CG93" s="10">
        <f t="shared" si="98"/>
        <v>-1203.95</v>
      </c>
      <c r="CH93" s="4">
        <f t="shared" si="103"/>
        <v>0</v>
      </c>
    </row>
    <row r="94" spans="1:86" ht="15.75">
      <c r="A94" s="36"/>
      <c r="B94" s="37">
        <v>39965</v>
      </c>
      <c r="C94" s="77">
        <f t="shared" si="84"/>
        <v>2.9751</v>
      </c>
      <c r="D94" s="78">
        <f>C94*(1+Podsumowanie!E$11)</f>
        <v>3.064353</v>
      </c>
      <c r="E94" s="34">
        <f t="shared" si="51"/>
        <v>-642.4183616215553</v>
      </c>
      <c r="F94" s="7">
        <f t="shared" si="81"/>
        <v>-1968.5966336900979</v>
      </c>
      <c r="G94" s="7">
        <f t="shared" si="53"/>
        <v>-1416.9089445354396</v>
      </c>
      <c r="H94" s="7">
        <f t="shared" si="82"/>
        <v>551.6876891546583</v>
      </c>
      <c r="I94" s="32"/>
      <c r="J94" s="4" t="str">
        <f t="shared" si="104"/>
        <v xml:space="preserve"> </v>
      </c>
      <c r="K94" s="4">
        <f>IF(B94&lt;Podsumowanie!E$7,0,K93+1)</f>
        <v>24</v>
      </c>
      <c r="L94" s="100">
        <f t="shared" si="85"/>
        <v>0.004</v>
      </c>
      <c r="M94" s="38">
        <f>L94+Podsumowanie!E$6</f>
        <v>0.016</v>
      </c>
      <c r="N94" s="101">
        <f>MAX(Podsumowanie!E$4+SUM(AA$5:AA93)-SUM(X$5:X94)+SUM(W$5:W94),0)</f>
        <v>174708.318252143</v>
      </c>
      <c r="O94" s="102">
        <f>MAX(Podsumowanie!E$2+SUM(V$5:V93)-SUM(S$5:S94)+SUM(R$5:R94),0)</f>
        <v>385334.2208204711</v>
      </c>
      <c r="P94" s="39">
        <f t="shared" si="56"/>
        <v>360</v>
      </c>
      <c r="Q94" s="40" t="str">
        <f>IF(AND(K94&gt;0,K94&lt;=Podsumowanie!E$9),"tak","nie")</f>
        <v>nie</v>
      </c>
      <c r="R94" s="41"/>
      <c r="S94" s="42"/>
      <c r="T94" s="88">
        <f t="shared" si="57"/>
        <v>-513.7789610939615</v>
      </c>
      <c r="U94" s="89">
        <f>IF(Q94="tak",T94,IF(P94-SUM(AB$5:AB94)+1&gt;0,IF(Podsumowanie!E$7&lt;B94,IF(SUM(AB$5:AB94)-Podsumowanie!E$9+1&gt;0,PMT(M94/12,P94+1-SUM(AB$5:AB94),O94),T94),0),0))</f>
        <v>-1416.9089445354396</v>
      </c>
      <c r="V94" s="89">
        <f t="shared" si="83"/>
        <v>-903.1299834414781</v>
      </c>
      <c r="W94" s="90" t="str">
        <f>IF(R94&gt;0,R94/(C94*(1-Podsumowanie!E$11))," ")</f>
        <v xml:space="preserve"> </v>
      </c>
      <c r="X94" s="90" t="str">
        <f t="shared" si="105"/>
        <v xml:space="preserve"> </v>
      </c>
      <c r="Y94" s="91">
        <f t="shared" si="109"/>
        <v>-232.94442433619068</v>
      </c>
      <c r="Z94" s="90">
        <f>IF(P94-SUM(AB$5:AB94)+1&gt;0,IF(Podsumowanie!E$7&lt;B94,IF(SUM(AB$5:AB94)-Podsumowanie!E$9+1&gt;0,PMT(M94/12,P94+1-SUM(AB$5:AB94),N94),Y94),0),0)</f>
        <v>-642.4183616215553</v>
      </c>
      <c r="AA94" s="90">
        <f t="shared" si="79"/>
        <v>-409.4739372853646</v>
      </c>
      <c r="AB94" s="8">
        <f>IF(AND(Podsumowanie!E$7&lt;B94,SUM(AB$5:AB93)&lt;P93),1," ")</f>
        <v>1</v>
      </c>
      <c r="AD94" s="10">
        <f>Podsumowanie!E$4-SUM(AF$5:AF93)+SUM(W$42:W94)-SUM(X$42:X94)</f>
        <v>170243.9581355522</v>
      </c>
      <c r="AE94" s="10">
        <f t="shared" si="61"/>
        <v>226.99</v>
      </c>
      <c r="AF94" s="10">
        <f t="shared" si="62"/>
        <v>505.17</v>
      </c>
      <c r="AG94" s="10">
        <f t="shared" si="63"/>
        <v>732.1600000000001</v>
      </c>
      <c r="AH94" s="10">
        <f t="shared" si="106"/>
        <v>2243.6</v>
      </c>
      <c r="AI94" s="10">
        <f>Podsumowanie!E$2-SUM(AK$5:AK93)+SUM(R$42:R94)-SUM(S$42:S94)</f>
        <v>375487.38</v>
      </c>
      <c r="AJ94" s="10">
        <f t="shared" si="65"/>
        <v>500.65</v>
      </c>
      <c r="AK94" s="10">
        <f t="shared" si="66"/>
        <v>1114.21</v>
      </c>
      <c r="AL94" s="10">
        <f t="shared" si="67"/>
        <v>1614.8600000000001</v>
      </c>
      <c r="AM94" s="10">
        <f t="shared" si="68"/>
        <v>628.7399999999998</v>
      </c>
      <c r="AO94" s="43">
        <f t="shared" si="107"/>
        <v>39965</v>
      </c>
      <c r="AP94" s="11">
        <f>AP$5+SUM(AS$5:AS93)-SUM(X$5:X94)+SUM(W$5:W94)</f>
        <v>169467.06870457873</v>
      </c>
      <c r="AQ94" s="10">
        <f t="shared" si="70"/>
        <v>-225.956091606105</v>
      </c>
      <c r="AR94" s="10">
        <f>IF(AB94=1,IF(Q94="tak",AQ94,PMT(M94/12,P94+1-SUM(AB$5:AB94),AP94)),0)</f>
        <v>-623.1458107729086</v>
      </c>
      <c r="AS94" s="10">
        <f t="shared" si="71"/>
        <v>-397.18971916680357</v>
      </c>
      <c r="AT94" s="10">
        <f t="shared" si="72"/>
        <v>-1853.9211016304803</v>
      </c>
      <c r="AV94" s="11">
        <f>AV$5+SUM(AX$5:AX93)+SUM(W$5:W93)-SUM(X$5:X93)</f>
        <v>165136.52719148563</v>
      </c>
      <c r="AW94" s="11">
        <f t="shared" si="73"/>
        <v>-225.956091606105</v>
      </c>
      <c r="AX94" s="11">
        <f t="shared" si="74"/>
        <v>-490.02</v>
      </c>
      <c r="AY94" s="11">
        <f t="shared" si="75"/>
        <v>-715.976091606105</v>
      </c>
      <c r="AZ94" s="11">
        <f t="shared" si="108"/>
        <v>-2130.100470137323</v>
      </c>
      <c r="BB94" s="191">
        <f t="shared" si="86"/>
        <v>0.046</v>
      </c>
      <c r="BC94" s="44">
        <f>BB94+Podsumowanie!$E$6</f>
        <v>0.057999999999999996</v>
      </c>
      <c r="BD94" s="11">
        <f>BD$5+SUM(BE$5:BE93)+SUM(R$5:R93)-SUM(S$5:S93)</f>
        <v>392118.05612867343</v>
      </c>
      <c r="BE94" s="10">
        <f t="shared" si="80"/>
        <v>-461.9709017362825</v>
      </c>
      <c r="BF94" s="10">
        <f t="shared" si="78"/>
        <v>-1895.237271288588</v>
      </c>
      <c r="BG94" s="10">
        <f>IF(U94&lt;0,PMT(BC94/12,Podsumowanie!E$8-SUM(AB$5:AB94)+1,BD94),0)</f>
        <v>-2357.2081730248706</v>
      </c>
      <c r="BI94" s="11">
        <f>BI$5+SUM(BK$5:BK93)+SUM(R$5:R93)-SUM(S$5:S93)</f>
        <v>375487.4651810585</v>
      </c>
      <c r="BJ94" s="11">
        <f t="shared" si="87"/>
        <v>-1814.8560817084492</v>
      </c>
      <c r="BK94" s="11">
        <f t="shared" si="88"/>
        <v>-1114.2061281337049</v>
      </c>
      <c r="BL94" s="11">
        <f t="shared" si="89"/>
        <v>-2929.062209842154</v>
      </c>
      <c r="BN94" s="44">
        <f t="shared" si="90"/>
        <v>0.0581</v>
      </c>
      <c r="BO94" s="11">
        <f>BO$5+SUM(BP$5:BP93)+SUM(R$5:R93)-SUM(S$5:S93)+SUM(BS$5:BS93)</f>
        <v>407927.46689372906</v>
      </c>
      <c r="BP94" s="10">
        <f t="shared" si="99"/>
        <v>-479.7503180974252</v>
      </c>
      <c r="BQ94" s="10">
        <f t="shared" si="100"/>
        <v>-1975.048818877138</v>
      </c>
      <c r="BR94" s="10">
        <f>IF(U94&lt;0,PMT(BN94/12,Podsumowanie!E$8-SUM(AB$5:AB94)+1,BO94),0)</f>
        <v>-2454.799136974563</v>
      </c>
      <c r="BS94" s="10">
        <f t="shared" si="94"/>
        <v>486.20250328446537</v>
      </c>
      <c r="BU94" s="11">
        <f>BU$5+SUM(BW$5:BW93)+SUM(R$5:R93)-SUM(S$5:S93)+SUM(BY$5,BY93)</f>
        <v>376393.22657303355</v>
      </c>
      <c r="BV94" s="10">
        <f t="shared" si="91"/>
        <v>-1822.3705386577706</v>
      </c>
      <c r="BW94" s="10">
        <f t="shared" si="92"/>
        <v>-1116.8938473977257</v>
      </c>
      <c r="BX94" s="10">
        <f t="shared" si="101"/>
        <v>-2939.2643860554963</v>
      </c>
      <c r="BY94" s="10">
        <f t="shared" si="102"/>
        <v>970.6677523653984</v>
      </c>
      <c r="CA94" s="10">
        <f>CA$5+SUM(CB$5:CB93)+SUM(R$5:R93)-SUM(S$5:S93)-SUM(CC$5:CC93)</f>
        <v>406139.29778167274</v>
      </c>
      <c r="CB94" s="10">
        <f t="shared" si="95"/>
        <v>1822.3705386577706</v>
      </c>
      <c r="CC94" s="10">
        <f t="shared" si="96"/>
        <v>1968.5966336900979</v>
      </c>
      <c r="CD94" s="10">
        <f t="shared" si="97"/>
        <v>146.2260950323273</v>
      </c>
      <c r="CF94" s="44">
        <f t="shared" si="93"/>
        <v>0.6206</v>
      </c>
      <c r="CG94" s="10">
        <f t="shared" si="98"/>
        <v>-1221.71</v>
      </c>
      <c r="CH94" s="4">
        <f t="shared" si="103"/>
        <v>0</v>
      </c>
    </row>
    <row r="95" spans="1:86" ht="15.75">
      <c r="A95" s="36"/>
      <c r="B95" s="37">
        <v>39995</v>
      </c>
      <c r="C95" s="77">
        <f t="shared" si="84"/>
        <v>2.8325</v>
      </c>
      <c r="D95" s="78">
        <f>C95*(1+Podsumowanie!E$11)</f>
        <v>2.917475</v>
      </c>
      <c r="E95" s="34">
        <f t="shared" si="51"/>
        <v>-642.4183616215555</v>
      </c>
      <c r="F95" s="7">
        <f t="shared" si="81"/>
        <v>-1874.2395095718477</v>
      </c>
      <c r="G95" s="7">
        <f t="shared" si="53"/>
        <v>-1416.9089445354398</v>
      </c>
      <c r="H95" s="7">
        <f t="shared" si="82"/>
        <v>457.33056503640796</v>
      </c>
      <c r="I95" s="32"/>
      <c r="J95" s="4" t="str">
        <f t="shared" si="104"/>
        <v xml:space="preserve"> </v>
      </c>
      <c r="K95" s="4">
        <f>IF(B95&lt;Podsumowanie!E$7,0,K94+1)</f>
        <v>25</v>
      </c>
      <c r="L95" s="100">
        <f t="shared" si="85"/>
        <v>0.004</v>
      </c>
      <c r="M95" s="38">
        <f>L95+Podsumowanie!E$6</f>
        <v>0.016</v>
      </c>
      <c r="N95" s="101">
        <f>MAX(Podsumowanie!E$4+SUM(AA$5:AA94)-SUM(X$5:X95)+SUM(W$5:W95),0)</f>
        <v>174298.84431485768</v>
      </c>
      <c r="O95" s="102">
        <f>MAX(Podsumowanie!E$2+SUM(V$5:V94)-SUM(S$5:S95)+SUM(R$5:R95),0)</f>
        <v>384431.0908370296</v>
      </c>
      <c r="P95" s="39">
        <f t="shared" si="56"/>
        <v>360</v>
      </c>
      <c r="Q95" s="40" t="str">
        <f>IF(AND(K95&gt;0,K95&lt;=Podsumowanie!E$9),"tak","nie")</f>
        <v>nie</v>
      </c>
      <c r="R95" s="41"/>
      <c r="S95" s="42"/>
      <c r="T95" s="88">
        <f t="shared" si="57"/>
        <v>-512.5747877827062</v>
      </c>
      <c r="U95" s="89">
        <f>IF(Q95="tak",T95,IF(P95-SUM(AB$5:AB95)+1&gt;0,IF(Podsumowanie!E$7&lt;B95,IF(SUM(AB$5:AB95)-Podsumowanie!E$9+1&gt;0,PMT(M95/12,P95+1-SUM(AB$5:AB95),O95),T95),0),0))</f>
        <v>-1416.9089445354398</v>
      </c>
      <c r="V95" s="89">
        <f t="shared" si="83"/>
        <v>-904.3341567527336</v>
      </c>
      <c r="W95" s="90" t="str">
        <f>IF(R95&gt;0,R95/(C95*(1-Podsumowanie!E$11))," ")</f>
        <v xml:space="preserve"> </v>
      </c>
      <c r="X95" s="90" t="str">
        <f t="shared" si="105"/>
        <v xml:space="preserve"> </v>
      </c>
      <c r="Y95" s="91">
        <f t="shared" si="109"/>
        <v>-232.39845908647692</v>
      </c>
      <c r="Z95" s="90">
        <f>IF(P95-SUM(AB$5:AB95)+1&gt;0,IF(Podsumowanie!E$7&lt;B95,IF(SUM(AB$5:AB95)-Podsumowanie!E$9+1&gt;0,PMT(M95/12,P95+1-SUM(AB$5:AB95),N95),Y95),0),0)</f>
        <v>-642.4183616215555</v>
      </c>
      <c r="AA95" s="90">
        <f t="shared" si="79"/>
        <v>-410.0199025350786</v>
      </c>
      <c r="AB95" s="8">
        <f>IF(AND(Podsumowanie!E$7&lt;B95,SUM(AB$5:AB94)&lt;P94),1," ")</f>
        <v>1</v>
      </c>
      <c r="AD95" s="10">
        <f>Podsumowanie!E$4-SUM(AF$5:AF94)+SUM(W$42:W95)-SUM(X$42:X95)</f>
        <v>169738.7881355522</v>
      </c>
      <c r="AE95" s="10">
        <f t="shared" si="61"/>
        <v>226.32</v>
      </c>
      <c r="AF95" s="10">
        <f t="shared" si="62"/>
        <v>505.17</v>
      </c>
      <c r="AG95" s="10">
        <f t="shared" si="63"/>
        <v>731.49</v>
      </c>
      <c r="AH95" s="10">
        <f t="shared" si="106"/>
        <v>2134.1</v>
      </c>
      <c r="AI95" s="10">
        <f>Podsumowanie!E$2-SUM(AK$5:AK94)+SUM(R$42:R95)-SUM(S$42:S95)</f>
        <v>374373.17000000004</v>
      </c>
      <c r="AJ95" s="10">
        <f t="shared" si="65"/>
        <v>499.16</v>
      </c>
      <c r="AK95" s="10">
        <f t="shared" si="66"/>
        <v>1114.21</v>
      </c>
      <c r="AL95" s="10">
        <f t="shared" si="67"/>
        <v>1613.3700000000001</v>
      </c>
      <c r="AM95" s="10">
        <f t="shared" si="68"/>
        <v>520.7299999999998</v>
      </c>
      <c r="AO95" s="43">
        <f t="shared" si="107"/>
        <v>39995</v>
      </c>
      <c r="AP95" s="11">
        <f>AP$5+SUM(AS$5:AS94)-SUM(X$5:X95)+SUM(W$5:W95)</f>
        <v>169069.87898541192</v>
      </c>
      <c r="AQ95" s="10">
        <f t="shared" si="70"/>
        <v>-225.42650531388256</v>
      </c>
      <c r="AR95" s="10">
        <f>IF(AB95=1,IF(Q95="tak",AQ95,PMT(M95/12,P95+1-SUM(AB$5:AB95),AP95)),0)</f>
        <v>-623.1458107729087</v>
      </c>
      <c r="AS95" s="10">
        <f t="shared" si="71"/>
        <v>-397.71930545902615</v>
      </c>
      <c r="AT95" s="10">
        <f t="shared" si="72"/>
        <v>-1765.060509014264</v>
      </c>
      <c r="AV95" s="11">
        <f>AV$5+SUM(AX$5:AX94)+SUM(W$5:W94)-SUM(X$5:X94)</f>
        <v>164646.5071914856</v>
      </c>
      <c r="AW95" s="11">
        <f t="shared" si="73"/>
        <v>-225.42650531388256</v>
      </c>
      <c r="AX95" s="11">
        <f t="shared" si="74"/>
        <v>-490.02</v>
      </c>
      <c r="AY95" s="11">
        <f t="shared" si="75"/>
        <v>-715.4465053138825</v>
      </c>
      <c r="AZ95" s="11">
        <f t="shared" si="108"/>
        <v>-2026.5022263015724</v>
      </c>
      <c r="BB95" s="191">
        <f t="shared" si="86"/>
        <v>0.0426</v>
      </c>
      <c r="BC95" s="44">
        <f>BB95+Podsumowanie!$E$6</f>
        <v>0.054599999999999996</v>
      </c>
      <c r="BD95" s="11">
        <f>BD$5+SUM(BE$5:BE94)+SUM(R$5:R94)-SUM(S$5:S94)</f>
        <v>391656.08522693714</v>
      </c>
      <c r="BE95" s="10">
        <f t="shared" si="80"/>
        <v>-492.60333352159546</v>
      </c>
      <c r="BF95" s="10">
        <f t="shared" si="78"/>
        <v>-1782.035187782564</v>
      </c>
      <c r="BG95" s="10">
        <f>IF(U95&lt;0,PMT(BC95/12,Podsumowanie!E$8-SUM(AB$5:AB95)+1,BD95),0)</f>
        <v>-2274.6385213041594</v>
      </c>
      <c r="BI95" s="11">
        <f>BI$5+SUM(BK$5:BK94)+SUM(R$5:R94)-SUM(S$5:S94)</f>
        <v>374373.2590529248</v>
      </c>
      <c r="BJ95" s="11">
        <f t="shared" si="87"/>
        <v>-1703.3983286908078</v>
      </c>
      <c r="BK95" s="11">
        <f t="shared" si="88"/>
        <v>-1114.2061281337049</v>
      </c>
      <c r="BL95" s="11">
        <f t="shared" si="89"/>
        <v>-2817.6044568245125</v>
      </c>
      <c r="BN95" s="44">
        <f t="shared" si="90"/>
        <v>0.0547</v>
      </c>
      <c r="BO95" s="11">
        <f>BO$5+SUM(BP$5:BP94)+SUM(R$5:R94)-SUM(S$5:S94)+SUM(BS$5:BS94)</f>
        <v>407933.9190789161</v>
      </c>
      <c r="BP95" s="10">
        <f t="shared" si="99"/>
        <v>-512.1861590764049</v>
      </c>
      <c r="BQ95" s="10">
        <f t="shared" si="100"/>
        <v>-1859.4987811347257</v>
      </c>
      <c r="BR95" s="10">
        <f>IF(U95&lt;0,PMT(BN95/12,Podsumowanie!E$8-SUM(AB$5:AB95)+1,BO95),0)</f>
        <v>-2371.6849402111307</v>
      </c>
      <c r="BS95" s="10">
        <f t="shared" si="94"/>
        <v>497.4454306392829</v>
      </c>
      <c r="BU95" s="11">
        <f>BU$5+SUM(BW$5:BW94)+SUM(R$5:R94)-SUM(S$5:S94)+SUM(BY$5,BY94)</f>
        <v>375258.243275954</v>
      </c>
      <c r="BV95" s="10">
        <f t="shared" si="91"/>
        <v>-1710.55215893289</v>
      </c>
      <c r="BW95" s="10">
        <f t="shared" si="92"/>
        <v>-1116.840009749863</v>
      </c>
      <c r="BX95" s="10">
        <f t="shared" si="101"/>
        <v>-2827.392168682753</v>
      </c>
      <c r="BY95" s="10">
        <f t="shared" si="102"/>
        <v>953.1526591109052</v>
      </c>
      <c r="CA95" s="10">
        <f>CA$5+SUM(CB$5:CB94)+SUM(R$5:R94)-SUM(S$5:S94)-SUM(CC$5:CC94)</f>
        <v>405993.0716866404</v>
      </c>
      <c r="CB95" s="10">
        <f t="shared" si="95"/>
        <v>1710.55215893289</v>
      </c>
      <c r="CC95" s="10">
        <f t="shared" si="96"/>
        <v>1874.2395095718477</v>
      </c>
      <c r="CD95" s="10">
        <f t="shared" si="97"/>
        <v>163.6873506389577</v>
      </c>
      <c r="CF95" s="44">
        <f t="shared" si="93"/>
        <v>0.619</v>
      </c>
      <c r="CG95" s="10">
        <f t="shared" si="98"/>
        <v>-1160.15</v>
      </c>
      <c r="CH95" s="4">
        <f t="shared" si="103"/>
        <v>0</v>
      </c>
    </row>
    <row r="96" spans="1:86" ht="15.75">
      <c r="A96" s="36"/>
      <c r="B96" s="37">
        <v>40026</v>
      </c>
      <c r="C96" s="77">
        <f t="shared" si="84"/>
        <v>2.71</v>
      </c>
      <c r="D96" s="78">
        <f>C96*(1+Podsumowanie!E$11)</f>
        <v>2.7913</v>
      </c>
      <c r="E96" s="34">
        <f t="shared" si="51"/>
        <v>-642.4183616215553</v>
      </c>
      <c r="F96" s="7">
        <f t="shared" si="81"/>
        <v>-1793.1823727942474</v>
      </c>
      <c r="G96" s="7">
        <f t="shared" si="53"/>
        <v>-1416.9089445354398</v>
      </c>
      <c r="H96" s="7">
        <f t="shared" si="82"/>
        <v>376.2734282588076</v>
      </c>
      <c r="I96" s="32"/>
      <c r="J96" s="4" t="str">
        <f t="shared" si="104"/>
        <v xml:space="preserve"> </v>
      </c>
      <c r="K96" s="4">
        <f>IF(B96&lt;Podsumowanie!E$7,0,K95+1)</f>
        <v>26</v>
      </c>
      <c r="L96" s="100">
        <f t="shared" si="85"/>
        <v>0.004</v>
      </c>
      <c r="M96" s="38">
        <f>L96+Podsumowanie!E$6</f>
        <v>0.016</v>
      </c>
      <c r="N96" s="101">
        <f>MAX(Podsumowanie!E$4+SUM(AA$5:AA95)-SUM(X$5:X96)+SUM(W$5:W96),0)</f>
        <v>173888.82441232257</v>
      </c>
      <c r="O96" s="102">
        <f>MAX(Podsumowanie!E$2+SUM(V$5:V95)-SUM(S$5:S96)+SUM(R$5:R96),0)</f>
        <v>383526.7566802769</v>
      </c>
      <c r="P96" s="39">
        <f t="shared" si="56"/>
        <v>360</v>
      </c>
      <c r="Q96" s="40" t="str">
        <f>IF(AND(K96&gt;0,K96&lt;=Podsumowanie!E$9),"tak","nie")</f>
        <v>nie</v>
      </c>
      <c r="R96" s="41"/>
      <c r="S96" s="42"/>
      <c r="T96" s="88">
        <f t="shared" si="57"/>
        <v>-511.36900890703583</v>
      </c>
      <c r="U96" s="89">
        <f>IF(Q96="tak",T96,IF(P96-SUM(AB$5:AB96)+1&gt;0,IF(Podsumowanie!E$7&lt;B96,IF(SUM(AB$5:AB96)-Podsumowanie!E$9+1&gt;0,PMT(M96/12,P96+1-SUM(AB$5:AB96),O96),T96),0),0))</f>
        <v>-1416.9089445354398</v>
      </c>
      <c r="V96" s="89">
        <f t="shared" si="83"/>
        <v>-905.539935628404</v>
      </c>
      <c r="W96" s="90" t="str">
        <f>IF(R96&gt;0,R96/(C96*(1-Podsumowanie!E$11))," ")</f>
        <v xml:space="preserve"> </v>
      </c>
      <c r="X96" s="90" t="str">
        <f t="shared" si="105"/>
        <v xml:space="preserve"> </v>
      </c>
      <c r="Y96" s="91">
        <f t="shared" si="109"/>
        <v>-231.85176588309676</v>
      </c>
      <c r="Z96" s="90">
        <f>IF(P96-SUM(AB$5:AB96)+1&gt;0,IF(Podsumowanie!E$7&lt;B96,IF(SUM(AB$5:AB96)-Podsumowanie!E$9+1&gt;0,PMT(M96/12,P96+1-SUM(AB$5:AB96),N96),Y96),0),0)</f>
        <v>-642.4183616215553</v>
      </c>
      <c r="AA96" s="90">
        <f t="shared" si="79"/>
        <v>-410.56659573845855</v>
      </c>
      <c r="AB96" s="8">
        <f>IF(AND(Podsumowanie!E$7&lt;B96,SUM(AB$5:AB95)&lt;P95),1," ")</f>
        <v>1</v>
      </c>
      <c r="AD96" s="10">
        <f>Podsumowanie!E$4-SUM(AF$5:AF95)+SUM(W$42:W96)-SUM(X$42:X96)</f>
        <v>169233.6181355522</v>
      </c>
      <c r="AE96" s="10">
        <f t="shared" si="61"/>
        <v>225.64</v>
      </c>
      <c r="AF96" s="10">
        <f t="shared" si="62"/>
        <v>505.17</v>
      </c>
      <c r="AG96" s="10">
        <f t="shared" si="63"/>
        <v>730.81</v>
      </c>
      <c r="AH96" s="10">
        <f t="shared" si="106"/>
        <v>2039.91</v>
      </c>
      <c r="AI96" s="10">
        <f>Podsumowanie!E$2-SUM(AK$5:AK95)+SUM(R$42:R96)-SUM(S$42:S96)</f>
        <v>373258.96</v>
      </c>
      <c r="AJ96" s="10">
        <f t="shared" si="65"/>
        <v>497.68</v>
      </c>
      <c r="AK96" s="10">
        <f t="shared" si="66"/>
        <v>1114.21</v>
      </c>
      <c r="AL96" s="10">
        <f t="shared" si="67"/>
        <v>1611.89</v>
      </c>
      <c r="AM96" s="10">
        <f t="shared" si="68"/>
        <v>428.02</v>
      </c>
      <c r="AO96" s="43">
        <f t="shared" si="107"/>
        <v>40026</v>
      </c>
      <c r="AP96" s="11">
        <f>AP$5+SUM(AS$5:AS95)-SUM(X$5:X96)+SUM(W$5:W96)</f>
        <v>168672.1596799529</v>
      </c>
      <c r="AQ96" s="10">
        <f t="shared" si="70"/>
        <v>-224.89621290660386</v>
      </c>
      <c r="AR96" s="10">
        <f>IF(AB96=1,IF(Q96="tak",AQ96,PMT(M96/12,P96+1-SUM(AB$5:AB96),AP96)),0)</f>
        <v>-623.1458107729087</v>
      </c>
      <c r="AS96" s="10">
        <f t="shared" si="71"/>
        <v>-398.24959786630484</v>
      </c>
      <c r="AT96" s="10">
        <f t="shared" si="72"/>
        <v>-1688.7251471945826</v>
      </c>
      <c r="AV96" s="11">
        <f>AV$5+SUM(AX$5:AX95)+SUM(W$5:W95)-SUM(X$5:X95)</f>
        <v>164156.48719148562</v>
      </c>
      <c r="AW96" s="11">
        <f t="shared" si="73"/>
        <v>-224.89621290660386</v>
      </c>
      <c r="AX96" s="11">
        <f t="shared" si="74"/>
        <v>-490.02</v>
      </c>
      <c r="AY96" s="11">
        <f t="shared" si="75"/>
        <v>-714.9162129066038</v>
      </c>
      <c r="AZ96" s="11">
        <f t="shared" si="108"/>
        <v>-1937.4229369768964</v>
      </c>
      <c r="BB96" s="191">
        <f t="shared" si="86"/>
        <v>0.0416</v>
      </c>
      <c r="BC96" s="44">
        <f>BB96+Podsumowanie!$E$6</f>
        <v>0.053599999999999995</v>
      </c>
      <c r="BD96" s="11">
        <f>BD$5+SUM(BE$5:BE95)+SUM(R$5:R95)-SUM(S$5:S95)</f>
        <v>391163.48189341556</v>
      </c>
      <c r="BE96" s="10">
        <f t="shared" si="80"/>
        <v>-503.4697124405129</v>
      </c>
      <c r="BF96" s="10">
        <f t="shared" si="78"/>
        <v>-1747.1968857905895</v>
      </c>
      <c r="BG96" s="10">
        <f>IF(U96&lt;0,PMT(BC96/12,Podsumowanie!E$8-SUM(AB$5:AB96)+1,BD96),0)</f>
        <v>-2250.6665982311024</v>
      </c>
      <c r="BI96" s="11">
        <f>BI$5+SUM(BK$5:BK95)+SUM(R$5:R95)-SUM(S$5:S95)</f>
        <v>373259.0529247911</v>
      </c>
      <c r="BJ96" s="11">
        <f t="shared" si="87"/>
        <v>-1667.2237697307335</v>
      </c>
      <c r="BK96" s="11">
        <f t="shared" si="88"/>
        <v>-1114.2061281337049</v>
      </c>
      <c r="BL96" s="11">
        <f t="shared" si="89"/>
        <v>-2781.4298978644383</v>
      </c>
      <c r="BN96" s="44">
        <f t="shared" si="90"/>
        <v>0.0537</v>
      </c>
      <c r="BO96" s="11">
        <f>BO$5+SUM(BP$5:BP95)+SUM(R$5:R95)-SUM(S$5:S95)+SUM(BS$5:BS95)</f>
        <v>407919.178350479</v>
      </c>
      <c r="BP96" s="10">
        <f t="shared" si="99"/>
        <v>-524.130981266522</v>
      </c>
      <c r="BQ96" s="10">
        <f t="shared" si="100"/>
        <v>-1825.4383231183936</v>
      </c>
      <c r="BR96" s="10">
        <f>IF(U96&lt;0,PMT(BN96/12,Podsumowanie!E$8-SUM(AB$5:AB96)+1,BO96),0)</f>
        <v>-2349.5693043849155</v>
      </c>
      <c r="BS96" s="10">
        <f t="shared" si="94"/>
        <v>556.3869315906682</v>
      </c>
      <c r="BU96" s="11">
        <f>BU$5+SUM(BW$5:BW95)+SUM(R$5:R95)-SUM(S$5:S95)+SUM(BY$5,BY95)</f>
        <v>374123.8881729496</v>
      </c>
      <c r="BV96" s="10">
        <f t="shared" si="91"/>
        <v>-1674.2043995739496</v>
      </c>
      <c r="BW96" s="10">
        <f t="shared" si="92"/>
        <v>-1116.7877258894018</v>
      </c>
      <c r="BX96" s="10">
        <f t="shared" si="101"/>
        <v>-2790.9921254633514</v>
      </c>
      <c r="BY96" s="10">
        <f t="shared" si="102"/>
        <v>997.809752669104</v>
      </c>
      <c r="CA96" s="10">
        <f>CA$5+SUM(CB$5:CB95)+SUM(R$5:R95)-SUM(S$5:S95)-SUM(CC$5:CC95)</f>
        <v>405829.3843360015</v>
      </c>
      <c r="CB96" s="10">
        <f t="shared" si="95"/>
        <v>1674.2043995739496</v>
      </c>
      <c r="CC96" s="10">
        <f t="shared" si="96"/>
        <v>1793.1823727942474</v>
      </c>
      <c r="CD96" s="10">
        <f t="shared" si="97"/>
        <v>118.97797322029783</v>
      </c>
      <c r="CF96" s="44">
        <f t="shared" si="93"/>
        <v>0.6255</v>
      </c>
      <c r="CG96" s="10">
        <f t="shared" si="98"/>
        <v>-1121.64</v>
      </c>
      <c r="CH96" s="4">
        <f t="shared" si="103"/>
        <v>0</v>
      </c>
    </row>
    <row r="97" spans="1:86" ht="15.75">
      <c r="A97" s="36"/>
      <c r="B97" s="37">
        <v>40057</v>
      </c>
      <c r="C97" s="77">
        <f t="shared" si="84"/>
        <v>2.7488</v>
      </c>
      <c r="D97" s="78">
        <f>C97*(1+Podsumowanie!E$11)</f>
        <v>2.831264</v>
      </c>
      <c r="E97" s="34">
        <f t="shared" si="51"/>
        <v>-642.4183616215554</v>
      </c>
      <c r="F97" s="7">
        <f t="shared" si="81"/>
        <v>-1818.8559801980914</v>
      </c>
      <c r="G97" s="7">
        <f t="shared" si="53"/>
        <v>-1416.9089445354396</v>
      </c>
      <c r="H97" s="7">
        <f t="shared" si="82"/>
        <v>401.94703566265184</v>
      </c>
      <c r="I97" s="32"/>
      <c r="J97" s="4" t="str">
        <f t="shared" si="104"/>
        <v xml:space="preserve"> </v>
      </c>
      <c r="K97" s="4">
        <f>IF(B97&lt;Podsumowanie!E$7,0,K96+1)</f>
        <v>27</v>
      </c>
      <c r="L97" s="100">
        <f t="shared" si="85"/>
        <v>0.004</v>
      </c>
      <c r="M97" s="38">
        <f>L97+Podsumowanie!E$6</f>
        <v>0.016</v>
      </c>
      <c r="N97" s="101">
        <f>MAX(Podsumowanie!E$4+SUM(AA$5:AA96)-SUM(X$5:X97)+SUM(W$5:W97),0)</f>
        <v>173478.25781658414</v>
      </c>
      <c r="O97" s="102">
        <f>MAX(Podsumowanie!E$2+SUM(V$5:V96)-SUM(S$5:S97)+SUM(R$5:R97),0)</f>
        <v>382621.21674464847</v>
      </c>
      <c r="P97" s="39">
        <f t="shared" si="56"/>
        <v>360</v>
      </c>
      <c r="Q97" s="40" t="str">
        <f>IF(AND(K97&gt;0,K97&lt;=Podsumowanie!E$9),"tak","nie")</f>
        <v>nie</v>
      </c>
      <c r="R97" s="41"/>
      <c r="S97" s="42"/>
      <c r="T97" s="88">
        <f t="shared" si="57"/>
        <v>-510.1616223261979</v>
      </c>
      <c r="U97" s="89">
        <f>IF(Q97="tak",T97,IF(P97-SUM(AB$5:AB97)+1&gt;0,IF(Podsumowanie!E$7&lt;B97,IF(SUM(AB$5:AB97)-Podsumowanie!E$9+1&gt;0,PMT(M97/12,P97+1-SUM(AB$5:AB97),O97),T97),0),0))</f>
        <v>-1416.9089445354396</v>
      </c>
      <c r="V97" s="89">
        <f t="shared" si="83"/>
        <v>-906.7473222092417</v>
      </c>
      <c r="W97" s="90" t="str">
        <f>IF(R97&gt;0,R97/(C97*(1-Podsumowanie!E$11))," ")</f>
        <v xml:space="preserve"> </v>
      </c>
      <c r="X97" s="90" t="str">
        <f t="shared" si="105"/>
        <v xml:space="preserve"> </v>
      </c>
      <c r="Y97" s="91">
        <f t="shared" si="109"/>
        <v>-231.30434375544553</v>
      </c>
      <c r="Z97" s="90">
        <f>IF(P97-SUM(AB$5:AB97)+1&gt;0,IF(Podsumowanie!E$7&lt;B97,IF(SUM(AB$5:AB97)-Podsumowanie!E$9+1&gt;0,PMT(M97/12,P97+1-SUM(AB$5:AB97),N97),Y97),0),0)</f>
        <v>-642.4183616215554</v>
      </c>
      <c r="AA97" s="90">
        <f t="shared" si="79"/>
        <v>-411.11401786610986</v>
      </c>
      <c r="AB97" s="8">
        <f>IF(AND(Podsumowanie!E$7&lt;B97,SUM(AB$5:AB96)&lt;P96),1," ")</f>
        <v>1</v>
      </c>
      <c r="AD97" s="10">
        <f>Podsumowanie!E$4-SUM(AF$5:AF96)+SUM(W$42:W97)-SUM(X$42:X97)</f>
        <v>168728.4481355522</v>
      </c>
      <c r="AE97" s="10">
        <f t="shared" si="61"/>
        <v>224.97</v>
      </c>
      <c r="AF97" s="10">
        <f t="shared" si="62"/>
        <v>505.17</v>
      </c>
      <c r="AG97" s="10">
        <f t="shared" si="63"/>
        <v>730.14</v>
      </c>
      <c r="AH97" s="10">
        <f t="shared" si="106"/>
        <v>2067.22</v>
      </c>
      <c r="AI97" s="10">
        <f>Podsumowanie!E$2-SUM(AK$5:AK96)+SUM(R$42:R97)-SUM(S$42:S97)</f>
        <v>372144.75</v>
      </c>
      <c r="AJ97" s="10">
        <f t="shared" si="65"/>
        <v>496.19</v>
      </c>
      <c r="AK97" s="10">
        <f t="shared" si="66"/>
        <v>1114.21</v>
      </c>
      <c r="AL97" s="10">
        <f t="shared" si="67"/>
        <v>1610.4</v>
      </c>
      <c r="AM97" s="10">
        <f t="shared" si="68"/>
        <v>456.8199999999997</v>
      </c>
      <c r="AO97" s="43">
        <f t="shared" si="107"/>
        <v>40057</v>
      </c>
      <c r="AP97" s="11">
        <f>AP$5+SUM(AS$5:AS96)-SUM(X$5:X97)+SUM(W$5:W97)</f>
        <v>168273.9100820866</v>
      </c>
      <c r="AQ97" s="10">
        <f t="shared" si="70"/>
        <v>-224.36521344278216</v>
      </c>
      <c r="AR97" s="10">
        <f>IF(AB97=1,IF(Q97="tak",AQ97,PMT(M97/12,P97+1-SUM(AB$5:AB97),AP97)),0)</f>
        <v>-623.1458107729087</v>
      </c>
      <c r="AS97" s="10">
        <f t="shared" si="71"/>
        <v>-398.7805973301265</v>
      </c>
      <c r="AT97" s="10">
        <f t="shared" si="72"/>
        <v>-1712.9032046525715</v>
      </c>
      <c r="AV97" s="11">
        <f>AV$5+SUM(AX$5:AX96)+SUM(W$5:W96)-SUM(X$5:X96)</f>
        <v>163666.46719148563</v>
      </c>
      <c r="AW97" s="11">
        <f t="shared" si="73"/>
        <v>-224.36521344278216</v>
      </c>
      <c r="AX97" s="11">
        <f t="shared" si="74"/>
        <v>-490.02</v>
      </c>
      <c r="AY97" s="11">
        <f t="shared" si="75"/>
        <v>-714.3852134427822</v>
      </c>
      <c r="AZ97" s="11">
        <f t="shared" si="108"/>
        <v>-1963.7020747115198</v>
      </c>
      <c r="BB97" s="191">
        <f t="shared" si="86"/>
        <v>0.0418</v>
      </c>
      <c r="BC97" s="44">
        <f>BB97+Podsumowanie!$E$6</f>
        <v>0.0538</v>
      </c>
      <c r="BD97" s="11">
        <f>BD$5+SUM(BE$5:BE96)+SUM(R$5:R96)-SUM(S$5:S96)</f>
        <v>390660.012180975</v>
      </c>
      <c r="BE97" s="10">
        <f t="shared" si="80"/>
        <v>-503.98224005844077</v>
      </c>
      <c r="BF97" s="10">
        <f t="shared" si="78"/>
        <v>-1751.4590546113714</v>
      </c>
      <c r="BG97" s="10">
        <f>IF(U97&lt;0,PMT(BC97/12,Podsumowanie!E$8-SUM(AB$5:AB97)+1,BD97),0)</f>
        <v>-2255.441294669812</v>
      </c>
      <c r="BI97" s="11">
        <f>BI$5+SUM(BK$5:BK96)+SUM(R$5:R96)-SUM(S$5:S96)</f>
        <v>372144.84679665737</v>
      </c>
      <c r="BJ97" s="11">
        <f t="shared" si="87"/>
        <v>-1668.4493964716805</v>
      </c>
      <c r="BK97" s="11">
        <f t="shared" si="88"/>
        <v>-1114.2061281337046</v>
      </c>
      <c r="BL97" s="11">
        <f t="shared" si="89"/>
        <v>-2782.655524605385</v>
      </c>
      <c r="BN97" s="44">
        <f t="shared" si="90"/>
        <v>0.053899999999999997</v>
      </c>
      <c r="BO97" s="11">
        <f>BO$5+SUM(BP$5:BP96)+SUM(R$5:R96)-SUM(S$5:S96)+SUM(BS$5:BS96)</f>
        <v>407951.4343008031</v>
      </c>
      <c r="BP97" s="10">
        <f t="shared" si="99"/>
        <v>-525.3848528214894</v>
      </c>
      <c r="BQ97" s="10">
        <f t="shared" si="100"/>
        <v>-1832.3818590677738</v>
      </c>
      <c r="BR97" s="10">
        <f>IF(U97&lt;0,PMT(BN97/12,Podsumowanie!E$8-SUM(AB$5:AB97)+1,BO97),0)</f>
        <v>-2357.766711889263</v>
      </c>
      <c r="BS97" s="10">
        <f t="shared" si="94"/>
        <v>538.9107316911718</v>
      </c>
      <c r="BU97" s="11">
        <f>BU$5+SUM(BW$5:BW96)+SUM(R$5:R96)-SUM(S$5:S96)+SUM(BY$5,BY96)</f>
        <v>373051.7575406184</v>
      </c>
      <c r="BV97" s="10">
        <f t="shared" si="91"/>
        <v>-1675.624144286611</v>
      </c>
      <c r="BW97" s="10">
        <f t="shared" si="92"/>
        <v>-1116.9214297623305</v>
      </c>
      <c r="BX97" s="10">
        <f t="shared" si="101"/>
        <v>-2792.5455740489415</v>
      </c>
      <c r="BY97" s="10">
        <f t="shared" si="102"/>
        <v>973.6895938508501</v>
      </c>
      <c r="CA97" s="10">
        <f>CA$5+SUM(CB$5:CB96)+SUM(R$5:R96)-SUM(S$5:S96)-SUM(CC$5:CC96)</f>
        <v>405710.4063627811</v>
      </c>
      <c r="CB97" s="10">
        <f t="shared" si="95"/>
        <v>1675.624144286611</v>
      </c>
      <c r="CC97" s="10">
        <f t="shared" si="96"/>
        <v>1818.8559801980914</v>
      </c>
      <c r="CD97" s="10">
        <f t="shared" si="97"/>
        <v>143.2318359114804</v>
      </c>
      <c r="CF97" s="44">
        <f t="shared" si="93"/>
        <v>0.6255</v>
      </c>
      <c r="CG97" s="10">
        <f t="shared" si="98"/>
        <v>-1137.69</v>
      </c>
      <c r="CH97" s="4">
        <f t="shared" si="103"/>
        <v>0</v>
      </c>
    </row>
    <row r="98" spans="1:86" ht="15.75">
      <c r="A98" s="36"/>
      <c r="B98" s="37">
        <v>40087</v>
      </c>
      <c r="C98" s="77">
        <f t="shared" si="84"/>
        <v>2.7851</v>
      </c>
      <c r="D98" s="78">
        <f>C98*(1+Podsumowanie!E$11)</f>
        <v>2.868653</v>
      </c>
      <c r="E98" s="34">
        <f t="shared" si="51"/>
        <v>-633.3334091154643</v>
      </c>
      <c r="F98" s="7">
        <f t="shared" si="81"/>
        <v>-1816.813784059304</v>
      </c>
      <c r="G98" s="7">
        <f t="shared" si="53"/>
        <v>-1396.8713004773401</v>
      </c>
      <c r="H98" s="7">
        <f t="shared" si="82"/>
        <v>419.94248358196387</v>
      </c>
      <c r="I98" s="32"/>
      <c r="J98" s="4" t="str">
        <f t="shared" si="104"/>
        <v xml:space="preserve"> </v>
      </c>
      <c r="K98" s="4">
        <f>IF(B98&lt;Podsumowanie!E$7,0,K97+1)</f>
        <v>28</v>
      </c>
      <c r="L98" s="100">
        <f t="shared" si="85"/>
        <v>0.0029</v>
      </c>
      <c r="M98" s="38">
        <f>L98+Podsumowanie!E$6</f>
        <v>0.0149</v>
      </c>
      <c r="N98" s="101">
        <f>MAX(Podsumowanie!E$4+SUM(AA$5:AA97)-SUM(X$5:X98)+SUM(W$5:W98),0)</f>
        <v>173067.14379871803</v>
      </c>
      <c r="O98" s="102">
        <f>MAX(Podsumowanie!E$2+SUM(V$5:V97)-SUM(S$5:S98)+SUM(R$5:R98),0)</f>
        <v>381714.46942243923</v>
      </c>
      <c r="P98" s="39">
        <f t="shared" si="56"/>
        <v>360</v>
      </c>
      <c r="Q98" s="40" t="str">
        <f>IF(AND(K98&gt;0,K98&lt;=Podsumowanie!E$9),"tak","nie")</f>
        <v>nie</v>
      </c>
      <c r="R98" s="41"/>
      <c r="S98" s="42"/>
      <c r="T98" s="88">
        <f t="shared" si="57"/>
        <v>-473.96213286619536</v>
      </c>
      <c r="U98" s="89">
        <f>IF(Q98="tak",T98,IF(P98-SUM(AB$5:AB98)+1&gt;0,IF(Podsumowanie!E$7&lt;B98,IF(SUM(AB$5:AB98)-Podsumowanie!E$9+1&gt;0,PMT(M98/12,P98+1-SUM(AB$5:AB98),O98),T98),0),0))</f>
        <v>-1396.8713004773401</v>
      </c>
      <c r="V98" s="89">
        <f t="shared" si="83"/>
        <v>-922.9091676111448</v>
      </c>
      <c r="W98" s="90" t="str">
        <f>IF(R98&gt;0,R98/(C98*(1-Podsumowanie!E$11))," ")</f>
        <v xml:space="preserve"> </v>
      </c>
      <c r="X98" s="90" t="str">
        <f t="shared" si="105"/>
        <v xml:space="preserve"> </v>
      </c>
      <c r="Y98" s="91">
        <f t="shared" si="109"/>
        <v>-214.89170355007488</v>
      </c>
      <c r="Z98" s="90">
        <f>IF(P98-SUM(AB$5:AB98)+1&gt;0,IF(Podsumowanie!E$7&lt;B98,IF(SUM(AB$5:AB98)-Podsumowanie!E$9+1&gt;0,PMT(M98/12,P98+1-SUM(AB$5:AB98),N98),Y98),0),0)</f>
        <v>-633.3334091154643</v>
      </c>
      <c r="AA98" s="90">
        <f t="shared" si="79"/>
        <v>-418.4417055653894</v>
      </c>
      <c r="AB98" s="8">
        <f>IF(AND(Podsumowanie!E$7&lt;B98,SUM(AB$5:AB97)&lt;P97),1," ")</f>
        <v>1</v>
      </c>
      <c r="AD98" s="10">
        <f>Podsumowanie!E$4-SUM(AF$5:AF97)+SUM(W$42:W98)-SUM(X$42:X98)</f>
        <v>168223.2781355522</v>
      </c>
      <c r="AE98" s="10">
        <f t="shared" si="61"/>
        <v>208.88</v>
      </c>
      <c r="AF98" s="10">
        <f t="shared" si="62"/>
        <v>505.18</v>
      </c>
      <c r="AG98" s="10">
        <f t="shared" si="63"/>
        <v>714.06</v>
      </c>
      <c r="AH98" s="10">
        <f t="shared" si="106"/>
        <v>2048.39</v>
      </c>
      <c r="AI98" s="10">
        <f>Podsumowanie!E$2-SUM(AK$5:AK97)+SUM(R$42:R98)-SUM(S$42:S98)</f>
        <v>371030.54000000004</v>
      </c>
      <c r="AJ98" s="10">
        <f t="shared" si="65"/>
        <v>460.7</v>
      </c>
      <c r="AK98" s="10">
        <f t="shared" si="66"/>
        <v>1114.21</v>
      </c>
      <c r="AL98" s="10">
        <f t="shared" si="67"/>
        <v>1574.91</v>
      </c>
      <c r="AM98" s="10">
        <f t="shared" si="68"/>
        <v>473.4799999999998</v>
      </c>
      <c r="AO98" s="43">
        <f t="shared" si="107"/>
        <v>40087</v>
      </c>
      <c r="AP98" s="11">
        <f>AP$5+SUM(AS$5:AS97)-SUM(X$5:X98)+SUM(W$5:W98)</f>
        <v>167875.12948475647</v>
      </c>
      <c r="AQ98" s="10">
        <f t="shared" si="70"/>
        <v>-208.44495244357265</v>
      </c>
      <c r="AR98" s="10">
        <f>IF(AB98=1,IF(Q98="tak",AQ98,PMT(M98/12,P98+1-SUM(AB$5:AB98),AP98)),0)</f>
        <v>-614.3334068420004</v>
      </c>
      <c r="AS98" s="10">
        <f t="shared" si="71"/>
        <v>-405.8884543984277</v>
      </c>
      <c r="AT98" s="10">
        <f t="shared" si="72"/>
        <v>-1710.9799713956552</v>
      </c>
      <c r="AV98" s="11">
        <f>AV$5+SUM(AX$5:AX97)+SUM(W$5:W97)-SUM(X$5:X97)</f>
        <v>163176.4471914856</v>
      </c>
      <c r="AW98" s="11">
        <f t="shared" si="73"/>
        <v>-208.44495244357265</v>
      </c>
      <c r="AX98" s="11">
        <f t="shared" si="74"/>
        <v>-490.02</v>
      </c>
      <c r="AY98" s="11">
        <f t="shared" si="75"/>
        <v>-698.4649524435727</v>
      </c>
      <c r="AZ98" s="11">
        <f t="shared" si="108"/>
        <v>-1945.2947390505942</v>
      </c>
      <c r="BB98" s="191">
        <f t="shared" si="86"/>
        <v>0.0418</v>
      </c>
      <c r="BC98" s="44">
        <f>BB98+Podsumowanie!$E$6</f>
        <v>0.0538</v>
      </c>
      <c r="BD98" s="11">
        <f>BD$5+SUM(BE$5:BE97)+SUM(R$5:R97)-SUM(S$5:S97)</f>
        <v>390156.0299409166</v>
      </c>
      <c r="BE98" s="10">
        <f t="shared" si="80"/>
        <v>-506.24176043470334</v>
      </c>
      <c r="BF98" s="10">
        <f t="shared" si="78"/>
        <v>-1749.1995342351092</v>
      </c>
      <c r="BG98" s="10">
        <f>IF(U98&lt;0,PMT(BC98/12,Podsumowanie!E$8-SUM(AB$5:AB98)+1,BD98),0)</f>
        <v>-2255.4412946698126</v>
      </c>
      <c r="BI98" s="11">
        <f>BI$5+SUM(BK$5:BK97)+SUM(R$5:R97)-SUM(S$5:S97)</f>
        <v>371030.6406685237</v>
      </c>
      <c r="BJ98" s="11">
        <f t="shared" si="87"/>
        <v>-1663.4540389972144</v>
      </c>
      <c r="BK98" s="11">
        <f t="shared" si="88"/>
        <v>-1114.2061281337046</v>
      </c>
      <c r="BL98" s="11">
        <f t="shared" si="89"/>
        <v>-2777.660167130919</v>
      </c>
      <c r="BN98" s="44">
        <f t="shared" si="90"/>
        <v>0.053899999999999997</v>
      </c>
      <c r="BO98" s="11">
        <f>BO$5+SUM(BP$5:BP97)+SUM(R$5:R97)-SUM(S$5:S97)+SUM(BS$5:BS97)</f>
        <v>407964.9601796728</v>
      </c>
      <c r="BP98" s="10">
        <f t="shared" si="99"/>
        <v>-528.4427651213416</v>
      </c>
      <c r="BQ98" s="10">
        <f t="shared" si="100"/>
        <v>-1832.4426128070302</v>
      </c>
      <c r="BR98" s="10">
        <f>IF(U98&lt;0,PMT(BN98/12,Podsumowanie!E$8-SUM(AB$5:AB98)+1,BO98),0)</f>
        <v>-2360.885377928372</v>
      </c>
      <c r="BS98" s="10">
        <f t="shared" si="94"/>
        <v>544.0715938690678</v>
      </c>
      <c r="BU98" s="11">
        <f>BU$5+SUM(BW$5:BW97)+SUM(R$5:R97)-SUM(S$5:S97)+SUM(BY$5,BY97)</f>
        <v>371910.71595203783</v>
      </c>
      <c r="BV98" s="10">
        <f t="shared" si="91"/>
        <v>-1670.4989658179031</v>
      </c>
      <c r="BW98" s="10">
        <f t="shared" si="92"/>
        <v>-1116.8489968529664</v>
      </c>
      <c r="BX98" s="10">
        <f t="shared" si="101"/>
        <v>-2787.3479626708695</v>
      </c>
      <c r="BY98" s="10">
        <f t="shared" si="102"/>
        <v>970.5341786115655</v>
      </c>
      <c r="CA98" s="10">
        <f>CA$5+SUM(CB$5:CB97)+SUM(R$5:R97)-SUM(S$5:S97)-SUM(CC$5:CC97)</f>
        <v>405567.17452686967</v>
      </c>
      <c r="CB98" s="10">
        <f t="shared" si="95"/>
        <v>1670.4989658179031</v>
      </c>
      <c r="CC98" s="10">
        <f t="shared" si="96"/>
        <v>1816.813784059304</v>
      </c>
      <c r="CD98" s="10">
        <f t="shared" si="97"/>
        <v>146.31481824140087</v>
      </c>
      <c r="CF98" s="44">
        <f t="shared" si="93"/>
        <v>0.6239</v>
      </c>
      <c r="CG98" s="10">
        <f t="shared" si="98"/>
        <v>-1133.51</v>
      </c>
      <c r="CH98" s="4">
        <f t="shared" si="103"/>
        <v>0</v>
      </c>
    </row>
    <row r="99" spans="1:86" ht="15.75">
      <c r="A99" s="36"/>
      <c r="B99" s="37">
        <v>40118</v>
      </c>
      <c r="C99" s="77">
        <f t="shared" si="84"/>
        <v>2.7628</v>
      </c>
      <c r="D99" s="78">
        <f>C99*(1+Podsumowanie!E$11)</f>
        <v>2.845684</v>
      </c>
      <c r="E99" s="34">
        <f t="shared" si="51"/>
        <v>-633.3334091154642</v>
      </c>
      <c r="F99" s="7">
        <f t="shared" si="81"/>
        <v>-1802.2667489853304</v>
      </c>
      <c r="G99" s="7">
        <f t="shared" si="53"/>
        <v>-1396.8713004773401</v>
      </c>
      <c r="H99" s="7">
        <f t="shared" si="82"/>
        <v>405.3954485079903</v>
      </c>
      <c r="I99" s="32"/>
      <c r="J99" s="4" t="str">
        <f t="shared" si="104"/>
        <v xml:space="preserve"> </v>
      </c>
      <c r="K99" s="4">
        <f>IF(B99&lt;Podsumowanie!E$7,0,K98+1)</f>
        <v>29</v>
      </c>
      <c r="L99" s="100">
        <f t="shared" si="85"/>
        <v>0.0029</v>
      </c>
      <c r="M99" s="38">
        <f>L99+Podsumowanie!E$6</f>
        <v>0.0149</v>
      </c>
      <c r="N99" s="101">
        <f>MAX(Podsumowanie!E$4+SUM(AA$5:AA98)-SUM(X$5:X99)+SUM(W$5:W99),0)</f>
        <v>172648.70209315262</v>
      </c>
      <c r="O99" s="102">
        <f>MAX(Podsumowanie!E$2+SUM(V$5:V98)-SUM(S$5:S99)+SUM(R$5:R99),0)</f>
        <v>380791.5602548281</v>
      </c>
      <c r="P99" s="39">
        <f t="shared" si="56"/>
        <v>360</v>
      </c>
      <c r="Q99" s="40" t="str">
        <f>IF(AND(K99&gt;0,K99&lt;=Podsumowanie!E$9),"tak","nie")</f>
        <v>nie</v>
      </c>
      <c r="R99" s="41"/>
      <c r="S99" s="42"/>
      <c r="T99" s="88">
        <f t="shared" si="57"/>
        <v>-472.8161873164115</v>
      </c>
      <c r="U99" s="89">
        <f>IF(Q99="tak",T99,IF(P99-SUM(AB$5:AB99)+1&gt;0,IF(Podsumowanie!E$7&lt;B99,IF(SUM(AB$5:AB99)-Podsumowanie!E$9+1&gt;0,PMT(M99/12,P99+1-SUM(AB$5:AB99),O99),T99),0),0))</f>
        <v>-1396.8713004773401</v>
      </c>
      <c r="V99" s="89">
        <f t="shared" si="83"/>
        <v>-924.0551131609286</v>
      </c>
      <c r="W99" s="90" t="str">
        <f>IF(R99&gt;0,R99/(C99*(1-Podsumowanie!E$11))," ")</f>
        <v xml:space="preserve"> </v>
      </c>
      <c r="X99" s="90" t="str">
        <f t="shared" si="105"/>
        <v xml:space="preserve"> </v>
      </c>
      <c r="Y99" s="91">
        <f t="shared" si="109"/>
        <v>-214.37213843233118</v>
      </c>
      <c r="Z99" s="90">
        <f>IF(P99-SUM(AB$5:AB99)+1&gt;0,IF(Podsumowanie!E$7&lt;B99,IF(SUM(AB$5:AB99)-Podsumowanie!E$9+1&gt;0,PMT(M99/12,P99+1-SUM(AB$5:AB99),N99),Y99),0),0)</f>
        <v>-633.3334091154642</v>
      </c>
      <c r="AA99" s="90">
        <f t="shared" si="79"/>
        <v>-418.96127068313297</v>
      </c>
      <c r="AB99" s="8">
        <f>IF(AND(Podsumowanie!E$7&lt;B99,SUM(AB$5:AB98)&lt;P98),1," ")</f>
        <v>1</v>
      </c>
      <c r="AD99" s="10">
        <f>Podsumowanie!E$4-SUM(AF$5:AF98)+SUM(W$42:W99)-SUM(X$42:X99)</f>
        <v>167718.0981355522</v>
      </c>
      <c r="AE99" s="10">
        <f t="shared" si="61"/>
        <v>208.25</v>
      </c>
      <c r="AF99" s="10">
        <f t="shared" si="62"/>
        <v>505.17</v>
      </c>
      <c r="AG99" s="10">
        <f t="shared" si="63"/>
        <v>713.4200000000001</v>
      </c>
      <c r="AH99" s="10">
        <f t="shared" si="106"/>
        <v>2030.17</v>
      </c>
      <c r="AI99" s="10">
        <f>Podsumowanie!E$2-SUM(AK$5:AK98)+SUM(R$42:R99)-SUM(S$42:S99)</f>
        <v>369916.33</v>
      </c>
      <c r="AJ99" s="10">
        <f t="shared" si="65"/>
        <v>459.31</v>
      </c>
      <c r="AK99" s="10">
        <f t="shared" si="66"/>
        <v>1114.21</v>
      </c>
      <c r="AL99" s="10">
        <f t="shared" si="67"/>
        <v>1573.52</v>
      </c>
      <c r="AM99" s="10">
        <f t="shared" si="68"/>
        <v>456.6500000000001</v>
      </c>
      <c r="AO99" s="43">
        <f t="shared" si="107"/>
        <v>40118</v>
      </c>
      <c r="AP99" s="11">
        <f>AP$5+SUM(AS$5:AS98)-SUM(X$5:X99)+SUM(W$5:W99)</f>
        <v>167469.24103035804</v>
      </c>
      <c r="AQ99" s="10">
        <f t="shared" si="70"/>
        <v>-207.94097427936126</v>
      </c>
      <c r="AR99" s="10">
        <f>IF(AB99=1,IF(Q99="tak",AQ99,PMT(M99/12,P99+1-SUM(AB$5:AB99),AP99)),0)</f>
        <v>-614.3334068420003</v>
      </c>
      <c r="AS99" s="10">
        <f t="shared" si="71"/>
        <v>-406.392432562639</v>
      </c>
      <c r="AT99" s="10">
        <f t="shared" si="72"/>
        <v>-1697.2803364230783</v>
      </c>
      <c r="AV99" s="11">
        <f>AV$5+SUM(AX$5:AX98)+SUM(W$5:W98)-SUM(X$5:X98)</f>
        <v>162686.42719148562</v>
      </c>
      <c r="AW99" s="11">
        <f t="shared" si="73"/>
        <v>-207.94097427936126</v>
      </c>
      <c r="AX99" s="11">
        <f t="shared" si="74"/>
        <v>-490.02</v>
      </c>
      <c r="AY99" s="11">
        <f t="shared" si="75"/>
        <v>-697.9609742793613</v>
      </c>
      <c r="AZ99" s="11">
        <f t="shared" si="108"/>
        <v>-1928.3265797390193</v>
      </c>
      <c r="BB99" s="191">
        <f t="shared" si="86"/>
        <v>0.0419</v>
      </c>
      <c r="BC99" s="44">
        <f>BB99+Podsumowanie!$E$6</f>
        <v>0.0539</v>
      </c>
      <c r="BD99" s="11">
        <f>BD$5+SUM(BE$5:BE98)+SUM(R$5:R98)-SUM(S$5:S98)</f>
        <v>389649.7881804819</v>
      </c>
      <c r="BE99" s="10">
        <f t="shared" si="80"/>
        <v>-507.64345121171255</v>
      </c>
      <c r="BF99" s="10">
        <f t="shared" si="78"/>
        <v>-1750.176965243998</v>
      </c>
      <c r="BG99" s="10">
        <f>IF(U99&lt;0,PMT(BC99/12,Podsumowanie!E$8-SUM(AB$5:AB99)+1,BD99),0)</f>
        <v>-2257.8204164557105</v>
      </c>
      <c r="BI99" s="11">
        <f>BI$5+SUM(BK$5:BK98)+SUM(R$5:R98)-SUM(S$5:S98)</f>
        <v>369916.43454039</v>
      </c>
      <c r="BJ99" s="11">
        <f t="shared" si="87"/>
        <v>-1661.5413184772517</v>
      </c>
      <c r="BK99" s="11">
        <f t="shared" si="88"/>
        <v>-1114.2061281337049</v>
      </c>
      <c r="BL99" s="11">
        <f t="shared" si="89"/>
        <v>-2775.7474466109566</v>
      </c>
      <c r="BN99" s="44">
        <f t="shared" si="90"/>
        <v>0.054</v>
      </c>
      <c r="BO99" s="11">
        <f>BO$5+SUM(BP$5:BP98)+SUM(R$5:R98)-SUM(S$5:S98)+SUM(BS$5:BS98)</f>
        <v>407980.58900842053</v>
      </c>
      <c r="BP99" s="10">
        <f t="shared" si="99"/>
        <v>-530.6176445082731</v>
      </c>
      <c r="BQ99" s="10">
        <f t="shared" si="100"/>
        <v>-1835.9126505378924</v>
      </c>
      <c r="BR99" s="10">
        <f>IF(U99&lt;0,PMT(BN99/12,Podsumowanie!E$8-SUM(AB$5:AB99)+1,BO99),0)</f>
        <v>-2366.5302950461655</v>
      </c>
      <c r="BS99" s="10">
        <f t="shared" si="94"/>
        <v>564.2635460608351</v>
      </c>
      <c r="BU99" s="11">
        <f>BU$5+SUM(BW$5:BW98)+SUM(R$5:R98)-SUM(S$5:S98)+SUM(BY$5,BY98)</f>
        <v>370790.71153994557</v>
      </c>
      <c r="BV99" s="10">
        <f t="shared" si="91"/>
        <v>-1668.5582019297551</v>
      </c>
      <c r="BW99" s="10">
        <f t="shared" si="92"/>
        <v>-1116.8394925901976</v>
      </c>
      <c r="BX99" s="10">
        <f t="shared" si="101"/>
        <v>-2785.397694519953</v>
      </c>
      <c r="BY99" s="10">
        <f t="shared" si="102"/>
        <v>983.1309455346225</v>
      </c>
      <c r="CA99" s="10">
        <f>CA$5+SUM(CB$5:CB98)+SUM(R$5:R98)-SUM(S$5:S98)-SUM(CC$5:CC98)</f>
        <v>405420.85970862827</v>
      </c>
      <c r="CB99" s="10">
        <f t="shared" si="95"/>
        <v>1668.5582019297551</v>
      </c>
      <c r="CC99" s="10">
        <f t="shared" si="96"/>
        <v>1802.2667489853304</v>
      </c>
      <c r="CD99" s="10">
        <f t="shared" si="97"/>
        <v>133.7085470555753</v>
      </c>
      <c r="CF99" s="44">
        <f t="shared" si="93"/>
        <v>0.619</v>
      </c>
      <c r="CG99" s="10">
        <f t="shared" si="98"/>
        <v>-1115.6</v>
      </c>
      <c r="CH99" s="4">
        <f t="shared" si="103"/>
        <v>0</v>
      </c>
    </row>
    <row r="100" spans="1:86" ht="15.75">
      <c r="A100" s="36"/>
      <c r="B100" s="37">
        <v>40148</v>
      </c>
      <c r="C100" s="77">
        <f t="shared" si="84"/>
        <v>2.7584</v>
      </c>
      <c r="D100" s="78">
        <f>C100*(1+Podsumowanie!E$11)</f>
        <v>2.841152</v>
      </c>
      <c r="E100" s="34">
        <f t="shared" si="51"/>
        <v>-633.3334091154642</v>
      </c>
      <c r="F100" s="7">
        <f t="shared" si="81"/>
        <v>-1799.3964819752193</v>
      </c>
      <c r="G100" s="7">
        <f t="shared" si="53"/>
        <v>-1396.8713004773401</v>
      </c>
      <c r="H100" s="7">
        <f t="shared" si="82"/>
        <v>402.5251814978792</v>
      </c>
      <c r="I100" s="32"/>
      <c r="J100" s="4" t="str">
        <f t="shared" si="104"/>
        <v xml:space="preserve"> </v>
      </c>
      <c r="K100" s="4">
        <f>IF(B100&lt;Podsumowanie!E$7,0,K99+1)</f>
        <v>30</v>
      </c>
      <c r="L100" s="100">
        <f t="shared" si="85"/>
        <v>0.0029</v>
      </c>
      <c r="M100" s="38">
        <f>L100+Podsumowanie!E$6</f>
        <v>0.0149</v>
      </c>
      <c r="N100" s="101">
        <f>MAX(Podsumowanie!E$4+SUM(AA$5:AA99)-SUM(X$5:X100)+SUM(W$5:W100),0)</f>
        <v>172229.7408224695</v>
      </c>
      <c r="O100" s="102">
        <f>MAX(Podsumowanie!E$2+SUM(V$5:V99)-SUM(S$5:S100)+SUM(R$5:R100),0)</f>
        <v>379867.50514166715</v>
      </c>
      <c r="P100" s="39">
        <f t="shared" si="56"/>
        <v>360</v>
      </c>
      <c r="Q100" s="40" t="str">
        <f>IF(AND(K100&gt;0,K100&lt;=Podsumowanie!E$9),"tak","nie")</f>
        <v>nie</v>
      </c>
      <c r="R100" s="41"/>
      <c r="S100" s="42"/>
      <c r="T100" s="88">
        <f t="shared" si="57"/>
        <v>-471.6688188842367</v>
      </c>
      <c r="U100" s="89">
        <f>IF(Q100="tak",T100,IF(P100-SUM(AB$5:AB100)+1&gt;0,IF(Podsumowanie!E$7&lt;B100,IF(SUM(AB$5:AB100)-Podsumowanie!E$9+1&gt;0,PMT(M100/12,P100+1-SUM(AB$5:AB100),O100),T100),0),0))</f>
        <v>-1396.8713004773401</v>
      </c>
      <c r="V100" s="89">
        <f t="shared" si="83"/>
        <v>-925.2024815931034</v>
      </c>
      <c r="W100" s="90" t="str">
        <f>IF(R100&gt;0,R100/(C100*(1-Podsumowanie!E$11))," ")</f>
        <v xml:space="preserve"> </v>
      </c>
      <c r="X100" s="90" t="str">
        <f t="shared" si="105"/>
        <v xml:space="preserve"> </v>
      </c>
      <c r="Y100" s="91">
        <f t="shared" si="109"/>
        <v>-213.85192818789963</v>
      </c>
      <c r="Z100" s="90">
        <f>IF(P100-SUM(AB$5:AB100)+1&gt;0,IF(Podsumowanie!E$7&lt;B100,IF(SUM(AB$5:AB100)-Podsumowanie!E$9+1&gt;0,PMT(M100/12,P100+1-SUM(AB$5:AB100),N100),Y100),0),0)</f>
        <v>-633.3334091154642</v>
      </c>
      <c r="AA100" s="90">
        <f t="shared" si="79"/>
        <v>-419.4814809275646</v>
      </c>
      <c r="AB100" s="8">
        <f>IF(AND(Podsumowanie!E$7&lt;B100,SUM(AB$5:AB99)&lt;P99),1," ")</f>
        <v>1</v>
      </c>
      <c r="AD100" s="10">
        <f>Podsumowanie!E$4-SUM(AF$5:AF99)+SUM(W$42:W100)-SUM(X$42:X100)</f>
        <v>167212.9281355522</v>
      </c>
      <c r="AE100" s="10">
        <f t="shared" si="61"/>
        <v>207.62</v>
      </c>
      <c r="AF100" s="10">
        <f t="shared" si="62"/>
        <v>505.18</v>
      </c>
      <c r="AG100" s="10">
        <f t="shared" si="63"/>
        <v>712.8</v>
      </c>
      <c r="AH100" s="10">
        <f t="shared" si="106"/>
        <v>2025.17</v>
      </c>
      <c r="AI100" s="10">
        <f>Podsumowanie!E$2-SUM(AK$5:AK99)+SUM(R$42:R100)-SUM(S$42:S100)</f>
        <v>368802.12</v>
      </c>
      <c r="AJ100" s="10">
        <f t="shared" si="65"/>
        <v>457.93</v>
      </c>
      <c r="AK100" s="10">
        <f t="shared" si="66"/>
        <v>1114.21</v>
      </c>
      <c r="AL100" s="10">
        <f t="shared" si="67"/>
        <v>1572.14</v>
      </c>
      <c r="AM100" s="10">
        <f t="shared" si="68"/>
        <v>453.03</v>
      </c>
      <c r="AO100" s="43">
        <f t="shared" si="107"/>
        <v>40148</v>
      </c>
      <c r="AP100" s="11">
        <f>AP$5+SUM(AS$5:AS99)-SUM(X$5:X100)+SUM(W$5:W100)</f>
        <v>167062.8485977954</v>
      </c>
      <c r="AQ100" s="10">
        <f t="shared" si="70"/>
        <v>-207.43637034226265</v>
      </c>
      <c r="AR100" s="10">
        <f>IF(AB100=1,IF(Q100="tak",AQ100,PMT(M100/12,P100+1-SUM(AB$5:AB100),AP100)),0)</f>
        <v>-614.3334068420004</v>
      </c>
      <c r="AS100" s="10">
        <f t="shared" si="71"/>
        <v>-406.89703649973774</v>
      </c>
      <c r="AT100" s="10">
        <f t="shared" si="72"/>
        <v>-1694.577269432974</v>
      </c>
      <c r="AV100" s="11">
        <f>AV$5+SUM(AX$5:AX99)+SUM(W$5:W99)-SUM(X$5:X99)</f>
        <v>162196.40719148563</v>
      </c>
      <c r="AW100" s="11">
        <f t="shared" si="73"/>
        <v>-207.43637034226265</v>
      </c>
      <c r="AX100" s="11">
        <f t="shared" si="74"/>
        <v>-490.02</v>
      </c>
      <c r="AY100" s="11">
        <f t="shared" si="75"/>
        <v>-697.4563703422626</v>
      </c>
      <c r="AZ100" s="11">
        <f t="shared" si="108"/>
        <v>-1923.8636519520971</v>
      </c>
      <c r="BB100" s="191">
        <f t="shared" si="86"/>
        <v>0.0423</v>
      </c>
      <c r="BC100" s="44">
        <f>BB100+Podsumowanie!$E$6</f>
        <v>0.0543</v>
      </c>
      <c r="BD100" s="11">
        <f>BD$5+SUM(BE$5:BE99)+SUM(R$5:R99)-SUM(S$5:S99)</f>
        <v>389142.1447292702</v>
      </c>
      <c r="BE100" s="10">
        <f t="shared" si="80"/>
        <v>-506.4605234670578</v>
      </c>
      <c r="BF100" s="10">
        <f t="shared" si="78"/>
        <v>-1760.8682048999478</v>
      </c>
      <c r="BG100" s="10">
        <f>IF(U100&lt;0,PMT(BC100/12,Podsumowanie!E$8-SUM(AB$5:AB100)+1,BD100),0)</f>
        <v>-2267.3287283670056</v>
      </c>
      <c r="BI100" s="11">
        <f>BI$5+SUM(BK$5:BK99)+SUM(R$5:R99)-SUM(S$5:S99)</f>
        <v>368802.2284122563</v>
      </c>
      <c r="BJ100" s="11">
        <f t="shared" si="87"/>
        <v>-1668.8300835654597</v>
      </c>
      <c r="BK100" s="11">
        <f t="shared" si="88"/>
        <v>-1114.2061281337049</v>
      </c>
      <c r="BL100" s="11">
        <f t="shared" si="89"/>
        <v>-2783.0362116991646</v>
      </c>
      <c r="BN100" s="44">
        <f t="shared" si="90"/>
        <v>0.0544</v>
      </c>
      <c r="BO100" s="11">
        <f>BO$5+SUM(BP$5:BP99)+SUM(R$5:R99)-SUM(S$5:S99)+SUM(BS$5:BS99)</f>
        <v>408014.2349099731</v>
      </c>
      <c r="BP100" s="10">
        <f t="shared" si="99"/>
        <v>-530.1175282782767</v>
      </c>
      <c r="BQ100" s="10">
        <f t="shared" si="100"/>
        <v>-1849.664531591878</v>
      </c>
      <c r="BR100" s="10">
        <f>IF(U100&lt;0,PMT(BN100/12,Podsumowanie!E$8-SUM(AB$5:AB100)+1,BO100),0)</f>
        <v>-2379.7820598701546</v>
      </c>
      <c r="BS100" s="10">
        <f t="shared" si="94"/>
        <v>580.3855778949353</v>
      </c>
      <c r="BU100" s="11">
        <f>BU$5+SUM(BW$5:BW99)+SUM(R$5:R99)-SUM(S$5:S99)+SUM(BY$5,BY99)</f>
        <v>369686.4688142784</v>
      </c>
      <c r="BV100" s="10">
        <f t="shared" si="91"/>
        <v>-1675.9119919580623</v>
      </c>
      <c r="BW100" s="10">
        <f t="shared" si="92"/>
        <v>-1116.8775492878503</v>
      </c>
      <c r="BX100" s="10">
        <f t="shared" si="101"/>
        <v>-2792.789541245913</v>
      </c>
      <c r="BY100" s="10">
        <f t="shared" si="102"/>
        <v>993.3930592706936</v>
      </c>
      <c r="CA100" s="10">
        <f>CA$5+SUM(CB$5:CB99)+SUM(R$5:R99)-SUM(S$5:S99)-SUM(CC$5:CC99)</f>
        <v>405287.1511615727</v>
      </c>
      <c r="CB100" s="10">
        <f t="shared" si="95"/>
        <v>1675.9119919580623</v>
      </c>
      <c r="CC100" s="10">
        <f t="shared" si="96"/>
        <v>1799.3964819752193</v>
      </c>
      <c r="CD100" s="10">
        <f t="shared" si="97"/>
        <v>123.48449001715699</v>
      </c>
      <c r="CF100" s="44">
        <f t="shared" si="93"/>
        <v>0.619</v>
      </c>
      <c r="CG100" s="10">
        <f t="shared" si="98"/>
        <v>-1113.83</v>
      </c>
      <c r="CH100" s="4">
        <f t="shared" si="103"/>
        <v>0</v>
      </c>
    </row>
    <row r="101" spans="1:86" ht="15.75">
      <c r="A101" s="36">
        <v>2010</v>
      </c>
      <c r="B101" s="37">
        <v>40179</v>
      </c>
      <c r="C101" s="77">
        <f t="shared" si="84"/>
        <v>2.7573</v>
      </c>
      <c r="D101" s="78">
        <f>C101*(1+Podsumowanie!E$11)</f>
        <v>2.840019</v>
      </c>
      <c r="E101" s="34">
        <f t="shared" si="51"/>
        <v>-633.3334091154643</v>
      </c>
      <c r="F101" s="7">
        <f t="shared" si="81"/>
        <v>-1798.6789152226918</v>
      </c>
      <c r="G101" s="7">
        <f t="shared" si="53"/>
        <v>-1396.8713004773404</v>
      </c>
      <c r="H101" s="7">
        <f t="shared" si="82"/>
        <v>401.80761474535143</v>
      </c>
      <c r="I101" s="32"/>
      <c r="J101" s="4" t="str">
        <f t="shared" si="104"/>
        <v xml:space="preserve"> </v>
      </c>
      <c r="K101" s="4">
        <f>IF(B101&lt;Podsumowanie!E$7,0,K100+1)</f>
        <v>31</v>
      </c>
      <c r="L101" s="100">
        <f t="shared" si="85"/>
        <v>0.0029</v>
      </c>
      <c r="M101" s="38">
        <f>L101+Podsumowanie!E$6</f>
        <v>0.0149</v>
      </c>
      <c r="N101" s="101">
        <f>MAX(Podsumowanie!E$4+SUM(AA$5:AA100)-SUM(X$5:X101)+SUM(W$5:W101),0)</f>
        <v>171810.25934154194</v>
      </c>
      <c r="O101" s="102">
        <f>MAX(Podsumowanie!E$2+SUM(V$5:V100)-SUM(S$5:S101)+SUM(R$5:R101),0)</f>
        <v>378942.3026600741</v>
      </c>
      <c r="P101" s="39">
        <f t="shared" si="56"/>
        <v>360</v>
      </c>
      <c r="Q101" s="40" t="str">
        <f>IF(AND(K101&gt;0,K101&lt;=Podsumowanie!E$9),"tak","nie")</f>
        <v>nie</v>
      </c>
      <c r="R101" s="41"/>
      <c r="S101" s="42"/>
      <c r="T101" s="88">
        <f t="shared" si="57"/>
        <v>-470.5200258029253</v>
      </c>
      <c r="U101" s="89">
        <f>IF(Q101="tak",T101,IF(P101-SUM(AB$5:AB101)+1&gt;0,IF(Podsumowanie!E$7&lt;B101,IF(SUM(AB$5:AB101)-Podsumowanie!E$9+1&gt;0,PMT(M101/12,P101+1-SUM(AB$5:AB101),O101),T101),0),0))</f>
        <v>-1396.8713004773404</v>
      </c>
      <c r="V101" s="89">
        <f t="shared" si="83"/>
        <v>-926.351274674415</v>
      </c>
      <c r="W101" s="90" t="str">
        <f>IF(R101&gt;0,R101/(C101*(1-Podsumowanie!E$11))," ")</f>
        <v xml:space="preserve"> </v>
      </c>
      <c r="X101" s="90" t="str">
        <f t="shared" si="105"/>
        <v xml:space="preserve"> </v>
      </c>
      <c r="Y101" s="91">
        <f t="shared" si="109"/>
        <v>-213.33107201574794</v>
      </c>
      <c r="Z101" s="90">
        <f>IF(P101-SUM(AB$5:AB101)+1&gt;0,IF(Podsumowanie!E$7&lt;B101,IF(SUM(AB$5:AB101)-Podsumowanie!E$9+1&gt;0,PMT(M101/12,P101+1-SUM(AB$5:AB101),N101),Y101),0),0)</f>
        <v>-633.3334091154643</v>
      </c>
      <c r="AA101" s="90">
        <f t="shared" si="79"/>
        <v>-420.0023370997163</v>
      </c>
      <c r="AB101" s="8">
        <f>IF(AND(Podsumowanie!E$7&lt;B101,SUM(AB$5:AB100)&lt;P100),1," ")</f>
        <v>1</v>
      </c>
      <c r="AD101" s="10">
        <f>Podsumowanie!E$4-SUM(AF$5:AF100)+SUM(W$42:W101)-SUM(X$42:X101)</f>
        <v>166707.7481355522</v>
      </c>
      <c r="AE101" s="10">
        <f t="shared" si="61"/>
        <v>207</v>
      </c>
      <c r="AF101" s="10">
        <f t="shared" si="62"/>
        <v>505.17</v>
      </c>
      <c r="AG101" s="10">
        <f t="shared" si="63"/>
        <v>712.1700000000001</v>
      </c>
      <c r="AH101" s="10">
        <f t="shared" si="106"/>
        <v>2022.58</v>
      </c>
      <c r="AI101" s="10">
        <f>Podsumowanie!E$2-SUM(AK$5:AK100)+SUM(R$42:R101)-SUM(S$42:S101)</f>
        <v>367687.91000000003</v>
      </c>
      <c r="AJ101" s="10">
        <f t="shared" si="65"/>
        <v>456.55</v>
      </c>
      <c r="AK101" s="10">
        <f t="shared" si="66"/>
        <v>1114.21</v>
      </c>
      <c r="AL101" s="10">
        <f t="shared" si="67"/>
        <v>1570.76</v>
      </c>
      <c r="AM101" s="10">
        <f t="shared" si="68"/>
        <v>451.81999999999994</v>
      </c>
      <c r="AO101" s="43">
        <f t="shared" si="107"/>
        <v>40179</v>
      </c>
      <c r="AP101" s="11">
        <f>AP$5+SUM(AS$5:AS100)-SUM(X$5:X101)+SUM(W$5:W101)</f>
        <v>166655.95156129566</v>
      </c>
      <c r="AQ101" s="10">
        <f t="shared" si="70"/>
        <v>-206.93113985527543</v>
      </c>
      <c r="AR101" s="10">
        <f>IF(AB101=1,IF(Q101="tak",AQ101,PMT(M101/12,P101+1-SUM(AB$5:AB101),AP101)),0)</f>
        <v>-614.3334068420003</v>
      </c>
      <c r="AS101" s="10">
        <f t="shared" si="71"/>
        <v>-407.40226698672484</v>
      </c>
      <c r="AT101" s="10">
        <f t="shared" si="72"/>
        <v>-1693.9015026854472</v>
      </c>
      <c r="AV101" s="11">
        <f>AV$5+SUM(AX$5:AX100)+SUM(W$5:W100)-SUM(X$5:X100)</f>
        <v>161706.3871914856</v>
      </c>
      <c r="AW101" s="11">
        <f t="shared" si="73"/>
        <v>-206.93113985527543</v>
      </c>
      <c r="AX101" s="11">
        <f t="shared" si="74"/>
        <v>-490.02</v>
      </c>
      <c r="AY101" s="11">
        <f t="shared" si="75"/>
        <v>-696.9511398552754</v>
      </c>
      <c r="AZ101" s="11">
        <f t="shared" si="108"/>
        <v>-1921.7033779229507</v>
      </c>
      <c r="BB101" s="191">
        <f t="shared" si="86"/>
        <v>0.0424</v>
      </c>
      <c r="BC101" s="44">
        <f>BB101+Podsumowanie!$E$6</f>
        <v>0.054400000000000004</v>
      </c>
      <c r="BD101" s="11">
        <f>BD$5+SUM(BE$5:BE100)+SUM(R$5:R100)-SUM(S$5:S100)</f>
        <v>388635.6842058031</v>
      </c>
      <c r="BE101" s="10">
        <f t="shared" si="80"/>
        <v>-507.88864780482413</v>
      </c>
      <c r="BF101" s="10">
        <f t="shared" si="78"/>
        <v>-1761.815101732974</v>
      </c>
      <c r="BG101" s="10">
        <f>IF(U101&lt;0,PMT(BC101/12,Podsumowanie!E$8-SUM(AB$5:AB101)+1,BD101),0)</f>
        <v>-2269.703749537798</v>
      </c>
      <c r="BI101" s="11">
        <f>BI$5+SUM(BK$5:BK100)+SUM(R$5:R100)-SUM(S$5:S100)</f>
        <v>367688.0222841226</v>
      </c>
      <c r="BJ101" s="11">
        <f t="shared" si="87"/>
        <v>-1666.8523676880225</v>
      </c>
      <c r="BK101" s="11">
        <f t="shared" si="88"/>
        <v>-1114.2061281337049</v>
      </c>
      <c r="BL101" s="11">
        <f t="shared" si="89"/>
        <v>-2781.0584958217273</v>
      </c>
      <c r="BN101" s="44">
        <f t="shared" si="90"/>
        <v>0.0545</v>
      </c>
      <c r="BO101" s="11">
        <f>BO$5+SUM(BP$5:BP100)+SUM(R$5:R100)-SUM(S$5:S100)+SUM(BS$5:BS100)</f>
        <v>408064.50295958976</v>
      </c>
      <c r="BP101" s="10">
        <f t="shared" si="99"/>
        <v>-532.3736680412273</v>
      </c>
      <c r="BQ101" s="10">
        <f t="shared" si="100"/>
        <v>-1853.29295094147</v>
      </c>
      <c r="BR101" s="10">
        <f>IF(U101&lt;0,PMT(BN101/12,Podsumowanie!E$8-SUM(AB$5:AB101)+1,BO101),0)</f>
        <v>-2385.6666189826974</v>
      </c>
      <c r="BS101" s="10">
        <f t="shared" si="94"/>
        <v>586.9877037600056</v>
      </c>
      <c r="BU101" s="11">
        <f>BU$5+SUM(BW$5:BW100)+SUM(R$5:R100)-SUM(S$5:S100)+SUM(BY$5,BY100)</f>
        <v>368579.85337872664</v>
      </c>
      <c r="BV101" s="10">
        <f t="shared" si="91"/>
        <v>-1673.9668340950502</v>
      </c>
      <c r="BW101" s="10">
        <f t="shared" si="92"/>
        <v>-1116.908646602202</v>
      </c>
      <c r="BX101" s="10">
        <f t="shared" si="101"/>
        <v>-2790.875480697252</v>
      </c>
      <c r="BY101" s="10">
        <f t="shared" si="102"/>
        <v>992.1965654745602</v>
      </c>
      <c r="CA101" s="10">
        <f>CA$5+SUM(CB$5:CB100)+SUM(R$5:R100)-SUM(S$5:S100)-SUM(CC$5:CC100)</f>
        <v>405163.66667155555</v>
      </c>
      <c r="CB101" s="10">
        <f t="shared" si="95"/>
        <v>1673.9668340950502</v>
      </c>
      <c r="CC101" s="10">
        <f t="shared" si="96"/>
        <v>1798.6789152226918</v>
      </c>
      <c r="CD101" s="10">
        <f t="shared" si="97"/>
        <v>124.71208112764157</v>
      </c>
      <c r="CF101" s="44">
        <f t="shared" si="93"/>
        <v>0.6093</v>
      </c>
      <c r="CG101" s="10">
        <f t="shared" si="98"/>
        <v>-1095.94</v>
      </c>
      <c r="CH101" s="4">
        <f t="shared" si="103"/>
        <v>0</v>
      </c>
    </row>
    <row r="102" spans="1:86" ht="15.75">
      <c r="A102" s="36"/>
      <c r="B102" s="37">
        <v>40210</v>
      </c>
      <c r="C102" s="77">
        <f t="shared" si="84"/>
        <v>2.7371</v>
      </c>
      <c r="D102" s="78">
        <f>C102*(1+Podsumowanie!E$11)</f>
        <v>2.819213</v>
      </c>
      <c r="E102" s="34">
        <f t="shared" si="51"/>
        <v>-633.3334091154643</v>
      </c>
      <c r="F102" s="7">
        <f t="shared" si="81"/>
        <v>-1785.5017803126354</v>
      </c>
      <c r="G102" s="7">
        <f t="shared" si="53"/>
        <v>-1396.8713004773404</v>
      </c>
      <c r="H102" s="7">
        <f t="shared" si="82"/>
        <v>388.6304798352951</v>
      </c>
      <c r="I102" s="32"/>
      <c r="J102" s="4" t="str">
        <f t="shared" si="104"/>
        <v xml:space="preserve"> </v>
      </c>
      <c r="K102" s="4">
        <f>IF(B102&lt;Podsumowanie!E$7,0,K101+1)</f>
        <v>32</v>
      </c>
      <c r="L102" s="100">
        <f t="shared" si="85"/>
        <v>0.0029</v>
      </c>
      <c r="M102" s="38">
        <f>L102+Podsumowanie!E$6</f>
        <v>0.0149</v>
      </c>
      <c r="N102" s="101">
        <f>MAX(Podsumowanie!E$4+SUM(AA$5:AA101)-SUM(X$5:X102)+SUM(W$5:W102),0)</f>
        <v>171390.25700444222</v>
      </c>
      <c r="O102" s="102">
        <f>MAX(Podsumowanie!E$2+SUM(V$5:V101)-SUM(S$5:S102)+SUM(R$5:R102),0)</f>
        <v>378015.9513853997</v>
      </c>
      <c r="P102" s="39">
        <f t="shared" si="56"/>
        <v>360</v>
      </c>
      <c r="Q102" s="40" t="str">
        <f>IF(AND(K102&gt;0,K102&lt;=Podsumowanie!E$9),"tak","nie")</f>
        <v>nie</v>
      </c>
      <c r="R102" s="41"/>
      <c r="S102" s="42"/>
      <c r="T102" s="88">
        <f t="shared" si="57"/>
        <v>-469.3698063035379</v>
      </c>
      <c r="U102" s="89">
        <f>IF(Q102="tak",T102,IF(P102-SUM(AB$5:AB102)+1&gt;0,IF(Podsumowanie!E$7&lt;B102,IF(SUM(AB$5:AB102)-Podsumowanie!E$9+1&gt;0,PMT(M102/12,P102+1-SUM(AB$5:AB102),O102),T102),0),0))</f>
        <v>-1396.8713004773404</v>
      </c>
      <c r="V102" s="89">
        <f t="shared" si="83"/>
        <v>-927.5014941738025</v>
      </c>
      <c r="W102" s="90" t="str">
        <f>IF(R102&gt;0,R102/(C102*(1-Podsumowanie!E$11))," ")</f>
        <v xml:space="preserve"> </v>
      </c>
      <c r="X102" s="90" t="str">
        <f t="shared" si="105"/>
        <v xml:space="preserve"> </v>
      </c>
      <c r="Y102" s="91">
        <f t="shared" si="109"/>
        <v>-212.80956911384908</v>
      </c>
      <c r="Z102" s="90">
        <f>IF(P102-SUM(AB$5:AB102)+1&gt;0,IF(Podsumowanie!E$7&lt;B102,IF(SUM(AB$5:AB102)-Podsumowanie!E$9+1&gt;0,PMT(M102/12,P102+1-SUM(AB$5:AB102),N102),Y102),0),0)</f>
        <v>-633.3334091154643</v>
      </c>
      <c r="AA102" s="90">
        <f t="shared" si="79"/>
        <v>-420.5238400016152</v>
      </c>
      <c r="AB102" s="8">
        <f>IF(AND(Podsumowanie!E$7&lt;B102,SUM(AB$5:AB101)&lt;P101),1," ")</f>
        <v>1</v>
      </c>
      <c r="AD102" s="10">
        <f>Podsumowanie!E$4-SUM(AF$5:AF101)+SUM(W$42:W102)-SUM(X$42:X102)</f>
        <v>166202.5781355522</v>
      </c>
      <c r="AE102" s="10">
        <f t="shared" si="61"/>
        <v>206.37</v>
      </c>
      <c r="AF102" s="10">
        <f t="shared" si="62"/>
        <v>505.18</v>
      </c>
      <c r="AG102" s="10">
        <f t="shared" si="63"/>
        <v>711.55</v>
      </c>
      <c r="AH102" s="10">
        <f t="shared" si="106"/>
        <v>2006.01</v>
      </c>
      <c r="AI102" s="10">
        <f>Podsumowanie!E$2-SUM(AK$5:AK101)+SUM(R$42:R102)-SUM(S$42:S102)</f>
        <v>366573.7</v>
      </c>
      <c r="AJ102" s="10">
        <f t="shared" si="65"/>
        <v>455.16</v>
      </c>
      <c r="AK102" s="10">
        <f t="shared" si="66"/>
        <v>1114.21</v>
      </c>
      <c r="AL102" s="10">
        <f t="shared" si="67"/>
        <v>1569.3700000000001</v>
      </c>
      <c r="AM102" s="10">
        <f t="shared" si="68"/>
        <v>436.6399999999999</v>
      </c>
      <c r="AO102" s="43">
        <f t="shared" si="107"/>
        <v>40210</v>
      </c>
      <c r="AP102" s="11">
        <f>AP$5+SUM(AS$5:AS101)-SUM(X$5:X102)+SUM(W$5:W102)</f>
        <v>166248.54929430893</v>
      </c>
      <c r="AQ102" s="10">
        <f t="shared" si="70"/>
        <v>-206.4252820404336</v>
      </c>
      <c r="AR102" s="10">
        <f>IF(AB102=1,IF(Q102="tak",AQ102,PMT(M102/12,P102+1-SUM(AB$5:AB102),AP102)),0)</f>
        <v>-614.3334068420004</v>
      </c>
      <c r="AS102" s="10">
        <f t="shared" si="71"/>
        <v>-407.9081248015668</v>
      </c>
      <c r="AT102" s="10">
        <f t="shared" si="72"/>
        <v>-1681.4919678672393</v>
      </c>
      <c r="AV102" s="11">
        <f>AV$5+SUM(AX$5:AX101)+SUM(W$5:W101)-SUM(X$5:X101)</f>
        <v>161216.36719148562</v>
      </c>
      <c r="AW102" s="11">
        <f t="shared" si="73"/>
        <v>-206.4252820404336</v>
      </c>
      <c r="AX102" s="11">
        <f t="shared" si="74"/>
        <v>-490.02</v>
      </c>
      <c r="AY102" s="11">
        <f t="shared" si="75"/>
        <v>-696.4452820404335</v>
      </c>
      <c r="AZ102" s="11">
        <f t="shared" si="108"/>
        <v>-1906.2403814728705</v>
      </c>
      <c r="BB102" s="191">
        <f t="shared" si="86"/>
        <v>0.0417</v>
      </c>
      <c r="BC102" s="44">
        <f>BB102+Podsumowanie!$E$6</f>
        <v>0.0537</v>
      </c>
      <c r="BD102" s="11">
        <f>BD$5+SUM(BE$5:BE101)+SUM(R$5:R101)-SUM(S$5:S101)</f>
        <v>388127.7955579983</v>
      </c>
      <c r="BE102" s="10">
        <f t="shared" si="80"/>
        <v>-516.2669417496356</v>
      </c>
      <c r="BF102" s="10">
        <f t="shared" si="78"/>
        <v>-1736.8718851220422</v>
      </c>
      <c r="BG102" s="10">
        <f>IF(U102&lt;0,PMT(BC102/12,Podsumowanie!E$8-SUM(AB$5:AB102)+1,BD102),0)</f>
        <v>-2253.138826871678</v>
      </c>
      <c r="BI102" s="11">
        <f>BI$5+SUM(BK$5:BK101)+SUM(R$5:R101)-SUM(S$5:S101)</f>
        <v>366573.81615598884</v>
      </c>
      <c r="BJ102" s="11">
        <f t="shared" si="87"/>
        <v>-1640.41782729805</v>
      </c>
      <c r="BK102" s="11">
        <f t="shared" si="88"/>
        <v>-1114.2061281337046</v>
      </c>
      <c r="BL102" s="11">
        <f t="shared" si="89"/>
        <v>-2754.6239554317544</v>
      </c>
      <c r="BN102" s="44">
        <f t="shared" si="90"/>
        <v>0.0538</v>
      </c>
      <c r="BO102" s="11">
        <f>BO$5+SUM(BP$5:BP101)+SUM(R$5:R101)-SUM(S$5:S101)+SUM(BS$5:BS101)</f>
        <v>408119.11699530855</v>
      </c>
      <c r="BP102" s="10">
        <f t="shared" si="99"/>
        <v>-541.9418989734779</v>
      </c>
      <c r="BQ102" s="10">
        <f t="shared" si="100"/>
        <v>-1829.7340411956332</v>
      </c>
      <c r="BR102" s="10">
        <f>IF(U102&lt;0,PMT(BN102/12,Podsumowanie!E$8-SUM(AB$5:AB102)+1,BO102),0)</f>
        <v>-2371.675940169111</v>
      </c>
      <c r="BS102" s="10">
        <f t="shared" si="94"/>
        <v>586.1741598564756</v>
      </c>
      <c r="BU102" s="11">
        <f>BU$5+SUM(BW$5:BW101)+SUM(R$5:R101)-SUM(S$5:S101)+SUM(BY$5,BY101)</f>
        <v>367461.7482383283</v>
      </c>
      <c r="BV102" s="10">
        <f t="shared" si="91"/>
        <v>-1647.4535046018389</v>
      </c>
      <c r="BW102" s="10">
        <f t="shared" si="92"/>
        <v>-1116.9050098429432</v>
      </c>
      <c r="BX102" s="10">
        <f t="shared" si="101"/>
        <v>-2764.358514444782</v>
      </c>
      <c r="BY102" s="10">
        <f t="shared" si="102"/>
        <v>978.8567341321466</v>
      </c>
      <c r="CA102" s="10">
        <f>CA$5+SUM(CB$5:CB101)+SUM(R$5:R101)-SUM(S$5:S101)-SUM(CC$5:CC101)</f>
        <v>405038.9545904279</v>
      </c>
      <c r="CB102" s="10">
        <f t="shared" si="95"/>
        <v>1647.4535046018389</v>
      </c>
      <c r="CC102" s="10">
        <f t="shared" si="96"/>
        <v>1785.5017803126354</v>
      </c>
      <c r="CD102" s="10">
        <f t="shared" si="97"/>
        <v>138.0482757107966</v>
      </c>
      <c r="CF102" s="44">
        <f t="shared" si="93"/>
        <v>0.6061</v>
      </c>
      <c r="CG102" s="10">
        <f t="shared" si="98"/>
        <v>-1082.19</v>
      </c>
      <c r="CH102" s="4">
        <f t="shared" si="103"/>
        <v>0</v>
      </c>
    </row>
    <row r="103" spans="1:86" ht="15.75">
      <c r="A103" s="36"/>
      <c r="B103" s="37">
        <v>40238</v>
      </c>
      <c r="C103" s="77">
        <f t="shared" si="84"/>
        <v>2.6885</v>
      </c>
      <c r="D103" s="78">
        <f>C103*(1+Podsumowanie!E$11)</f>
        <v>2.769155</v>
      </c>
      <c r="E103" s="34">
        <f t="shared" si="51"/>
        <v>-633.3334091154642</v>
      </c>
      <c r="F103" s="7">
        <f t="shared" si="81"/>
        <v>-1753.7983765191332</v>
      </c>
      <c r="G103" s="7">
        <f t="shared" si="53"/>
        <v>-1396.8713004773401</v>
      </c>
      <c r="H103" s="7">
        <f t="shared" si="82"/>
        <v>356.92707604179304</v>
      </c>
      <c r="I103" s="32"/>
      <c r="J103" s="4" t="str">
        <f t="shared" si="104"/>
        <v xml:space="preserve"> </v>
      </c>
      <c r="K103" s="4">
        <f>IF(B103&lt;Podsumowanie!E$7,0,K102+1)</f>
        <v>33</v>
      </c>
      <c r="L103" s="100">
        <f t="shared" si="85"/>
        <v>0.0029</v>
      </c>
      <c r="M103" s="38">
        <f>L103+Podsumowanie!E$6</f>
        <v>0.0149</v>
      </c>
      <c r="N103" s="101">
        <f>MAX(Podsumowanie!E$4+SUM(AA$5:AA102)-SUM(X$5:X103)+SUM(W$5:W103),0)</f>
        <v>170969.7331644406</v>
      </c>
      <c r="O103" s="102">
        <f>MAX(Podsumowanie!E$2+SUM(V$5:V102)-SUM(S$5:S103)+SUM(R$5:R103),0)</f>
        <v>377088.44989122584</v>
      </c>
      <c r="P103" s="39">
        <f t="shared" si="56"/>
        <v>360</v>
      </c>
      <c r="Q103" s="40" t="str">
        <f>IF(AND(K103&gt;0,K103&lt;=Podsumowanie!E$9),"tak","nie")</f>
        <v>nie</v>
      </c>
      <c r="R103" s="41"/>
      <c r="S103" s="42"/>
      <c r="T103" s="88">
        <f t="shared" si="57"/>
        <v>-468.2181586149388</v>
      </c>
      <c r="U103" s="89">
        <f>IF(Q103="tak",T103,IF(P103-SUM(AB$5:AB103)+1&gt;0,IF(Podsumowanie!E$7&lt;B103,IF(SUM(AB$5:AB103)-Podsumowanie!E$9+1&gt;0,PMT(M103/12,P103+1-SUM(AB$5:AB103),O103),T103),0),0))</f>
        <v>-1396.8713004773401</v>
      </c>
      <c r="V103" s="89">
        <f t="shared" si="83"/>
        <v>-928.6531418624013</v>
      </c>
      <c r="W103" s="90" t="str">
        <f>IF(R103&gt;0,R103/(C103*(1-Podsumowanie!E$11))," ")</f>
        <v xml:space="preserve"> </v>
      </c>
      <c r="X103" s="90" t="str">
        <f t="shared" si="105"/>
        <v xml:space="preserve"> </v>
      </c>
      <c r="Y103" s="91">
        <f t="shared" si="109"/>
        <v>-212.2874186791804</v>
      </c>
      <c r="Z103" s="90">
        <f>IF(P103-SUM(AB$5:AB103)+1&gt;0,IF(Podsumowanie!E$7&lt;B103,IF(SUM(AB$5:AB103)-Podsumowanie!E$9+1&gt;0,PMT(M103/12,P103+1-SUM(AB$5:AB103),N103),Y103),0),0)</f>
        <v>-633.3334091154642</v>
      </c>
      <c r="AA103" s="90">
        <f t="shared" si="79"/>
        <v>-421.0459904362838</v>
      </c>
      <c r="AB103" s="8">
        <f>IF(AND(Podsumowanie!E$7&lt;B103,SUM(AB$5:AB102)&lt;P102),1," ")</f>
        <v>1</v>
      </c>
      <c r="AD103" s="10">
        <f>Podsumowanie!E$4-SUM(AF$5:AF102)+SUM(W$42:W103)-SUM(X$42:X103)</f>
        <v>165697.3981355522</v>
      </c>
      <c r="AE103" s="10">
        <f t="shared" si="61"/>
        <v>205.74</v>
      </c>
      <c r="AF103" s="10">
        <f t="shared" si="62"/>
        <v>505.17</v>
      </c>
      <c r="AG103" s="10">
        <f t="shared" si="63"/>
        <v>710.9100000000001</v>
      </c>
      <c r="AH103" s="10">
        <f t="shared" si="106"/>
        <v>1968.62</v>
      </c>
      <c r="AI103" s="10">
        <f>Podsumowanie!E$2-SUM(AK$5:AK102)+SUM(R$42:R103)-SUM(S$42:S103)</f>
        <v>365459.49</v>
      </c>
      <c r="AJ103" s="10">
        <f t="shared" si="65"/>
        <v>453.78</v>
      </c>
      <c r="AK103" s="10">
        <f t="shared" si="66"/>
        <v>1114.21</v>
      </c>
      <c r="AL103" s="10">
        <f t="shared" si="67"/>
        <v>1567.99</v>
      </c>
      <c r="AM103" s="10">
        <f t="shared" si="68"/>
        <v>400.6299999999999</v>
      </c>
      <c r="AO103" s="43">
        <f t="shared" si="107"/>
        <v>40238</v>
      </c>
      <c r="AP103" s="11">
        <f>AP$5+SUM(AS$5:AS102)-SUM(X$5:X103)+SUM(W$5:W103)</f>
        <v>165840.64116950738</v>
      </c>
      <c r="AQ103" s="10">
        <f t="shared" si="70"/>
        <v>-205.91879611880498</v>
      </c>
      <c r="AR103" s="10">
        <f>IF(AB103=1,IF(Q103="tak",AQ103,PMT(M103/12,P103+1-SUM(AB$5:AB103),AP103)),0)</f>
        <v>-614.3334068420003</v>
      </c>
      <c r="AS103" s="10">
        <f t="shared" si="71"/>
        <v>-408.4146107231953</v>
      </c>
      <c r="AT103" s="10">
        <f t="shared" si="72"/>
        <v>-1651.6353642947176</v>
      </c>
      <c r="AV103" s="11">
        <f>AV$5+SUM(AX$5:AX102)+SUM(W$5:W102)-SUM(X$5:X102)</f>
        <v>160726.34719148563</v>
      </c>
      <c r="AW103" s="11">
        <f t="shared" si="73"/>
        <v>-205.91879611880498</v>
      </c>
      <c r="AX103" s="11">
        <f t="shared" si="74"/>
        <v>-490.02</v>
      </c>
      <c r="AY103" s="11">
        <f t="shared" si="75"/>
        <v>-695.9387961188049</v>
      </c>
      <c r="AZ103" s="11">
        <f t="shared" si="108"/>
        <v>-1871.031453365407</v>
      </c>
      <c r="BB103" s="191">
        <f t="shared" si="86"/>
        <v>0.0413</v>
      </c>
      <c r="BC103" s="44">
        <f>BB103+Podsumowanie!$E$6</f>
        <v>0.0533</v>
      </c>
      <c r="BD103" s="11">
        <f>BD$5+SUM(BE$5:BE102)+SUM(R$5:R102)-SUM(S$5:S102)</f>
        <v>387611.52861624863</v>
      </c>
      <c r="BE103" s="10">
        <f t="shared" si="80"/>
        <v>-522.0783653542992</v>
      </c>
      <c r="BF103" s="10">
        <f t="shared" si="78"/>
        <v>-1721.6412062705042</v>
      </c>
      <c r="BG103" s="10">
        <f>IF(U103&lt;0,PMT(BC103/12,Podsumowanie!E$8-SUM(AB$5:AB103)+1,BD103),0)</f>
        <v>-2243.7195716248034</v>
      </c>
      <c r="BI103" s="11">
        <f>BI$5+SUM(BK$5:BK102)+SUM(R$5:R102)-SUM(S$5:S102)</f>
        <v>365459.61002785515</v>
      </c>
      <c r="BJ103" s="11">
        <f t="shared" si="87"/>
        <v>-1623.2497678737234</v>
      </c>
      <c r="BK103" s="11">
        <f t="shared" si="88"/>
        <v>-1114.2061281337046</v>
      </c>
      <c r="BL103" s="11">
        <f t="shared" si="89"/>
        <v>-2737.4558960074282</v>
      </c>
      <c r="BN103" s="44">
        <f t="shared" si="90"/>
        <v>0.0534</v>
      </c>
      <c r="BO103" s="11">
        <f>BO$5+SUM(BP$5:BP102)+SUM(R$5:R102)-SUM(S$5:S102)+SUM(BS$5:BS102)</f>
        <v>408163.3492561916</v>
      </c>
      <c r="BP103" s="10">
        <f t="shared" si="99"/>
        <v>-548.8362768152699</v>
      </c>
      <c r="BQ103" s="10">
        <f t="shared" si="100"/>
        <v>-1816.3269041900528</v>
      </c>
      <c r="BR103" s="10">
        <f>IF(U103&lt;0,PMT(BN103/12,Podsumowanie!E$8-SUM(AB$5:AB103)+1,BO103),0)</f>
        <v>-2365.1631810053227</v>
      </c>
      <c r="BS103" s="10">
        <f t="shared" si="94"/>
        <v>611.3648044861895</v>
      </c>
      <c r="BU103" s="11">
        <f>BU$5+SUM(BW$5:BW102)+SUM(R$5:R102)-SUM(S$5:S102)+SUM(BY$5,BY102)</f>
        <v>366331.503397143</v>
      </c>
      <c r="BV103" s="10">
        <f t="shared" si="91"/>
        <v>-1630.1751901172863</v>
      </c>
      <c r="BW103" s="10">
        <f t="shared" si="92"/>
        <v>-1116.8643396254358</v>
      </c>
      <c r="BX103" s="10">
        <f t="shared" si="101"/>
        <v>-2747.039529742722</v>
      </c>
      <c r="BY103" s="10">
        <f t="shared" si="102"/>
        <v>993.241153223589</v>
      </c>
      <c r="CA103" s="10">
        <f>CA$5+SUM(CB$5:CB102)+SUM(R$5:R102)-SUM(S$5:S102)-SUM(CC$5:CC102)</f>
        <v>404900.90631471714</v>
      </c>
      <c r="CB103" s="10">
        <f t="shared" si="95"/>
        <v>1630.1751901172863</v>
      </c>
      <c r="CC103" s="10">
        <f t="shared" si="96"/>
        <v>1753.7983765191332</v>
      </c>
      <c r="CD103" s="10">
        <f t="shared" si="97"/>
        <v>123.62318640184685</v>
      </c>
      <c r="CF103" s="44">
        <f t="shared" si="93"/>
        <v>0.6013</v>
      </c>
      <c r="CG103" s="10">
        <f t="shared" si="98"/>
        <v>-1054.56</v>
      </c>
      <c r="CH103" s="4">
        <f t="shared" si="103"/>
        <v>0</v>
      </c>
    </row>
    <row r="104" spans="1:86" ht="15.75">
      <c r="A104" s="36"/>
      <c r="B104" s="37">
        <v>40269</v>
      </c>
      <c r="C104" s="77">
        <f t="shared" si="84"/>
        <v>2.6997</v>
      </c>
      <c r="D104" s="78">
        <f>C104*(1+Podsumowanie!E$11)</f>
        <v>2.780691</v>
      </c>
      <c r="E104" s="34">
        <f t="shared" si="51"/>
        <v>-633.3334091154643</v>
      </c>
      <c r="F104" s="7">
        <f t="shared" si="81"/>
        <v>-1761.1045107266896</v>
      </c>
      <c r="G104" s="7">
        <f t="shared" si="53"/>
        <v>-1396.8713004773401</v>
      </c>
      <c r="H104" s="7">
        <f t="shared" si="82"/>
        <v>364.23321024934944</v>
      </c>
      <c r="I104" s="32"/>
      <c r="J104" s="4" t="str">
        <f t="shared" si="104"/>
        <v xml:space="preserve"> </v>
      </c>
      <c r="K104" s="4">
        <f>IF(B104&lt;Podsumowanie!E$7,0,K103+1)</f>
        <v>34</v>
      </c>
      <c r="L104" s="100">
        <f t="shared" si="85"/>
        <v>0.0029</v>
      </c>
      <c r="M104" s="38">
        <f>L104+Podsumowanie!E$6</f>
        <v>0.0149</v>
      </c>
      <c r="N104" s="101">
        <f>MAX(Podsumowanie!E$4+SUM(AA$5:AA103)-SUM(X$5:X104)+SUM(W$5:W104),0)</f>
        <v>170548.68717400433</v>
      </c>
      <c r="O104" s="102">
        <f>MAX(Podsumowanie!E$2+SUM(V$5:V103)-SUM(S$5:S104)+SUM(R$5:R104),0)</f>
        <v>376159.7967493634</v>
      </c>
      <c r="P104" s="39">
        <f t="shared" si="56"/>
        <v>360</v>
      </c>
      <c r="Q104" s="40" t="str">
        <f>IF(AND(K104&gt;0,K104&lt;=Podsumowanie!E$9),"tak","nie")</f>
        <v>nie</v>
      </c>
      <c r="R104" s="41"/>
      <c r="S104" s="42"/>
      <c r="T104" s="88">
        <f t="shared" si="57"/>
        <v>-467.0650809637929</v>
      </c>
      <c r="U104" s="89">
        <f>IF(Q104="tak",T104,IF(P104-SUM(AB$5:AB104)+1&gt;0,IF(Podsumowanie!E$7&lt;B104,IF(SUM(AB$5:AB104)-Podsumowanie!E$9+1&gt;0,PMT(M104/12,P104+1-SUM(AB$5:AB104),O104),T104),0),0))</f>
        <v>-1396.8713004773401</v>
      </c>
      <c r="V104" s="89">
        <f t="shared" si="83"/>
        <v>-929.8062195135471</v>
      </c>
      <c r="W104" s="90" t="str">
        <f>IF(R104&gt;0,R104/(C104*(1-Podsumowanie!E$11))," ")</f>
        <v xml:space="preserve"> </v>
      </c>
      <c r="X104" s="90" t="str">
        <f t="shared" si="105"/>
        <v xml:space="preserve"> </v>
      </c>
      <c r="Y104" s="91">
        <f t="shared" si="109"/>
        <v>-211.76461990772205</v>
      </c>
      <c r="Z104" s="90">
        <f>IF(P104-SUM(AB$5:AB104)+1&gt;0,IF(Podsumowanie!E$7&lt;B104,IF(SUM(AB$5:AB104)-Podsumowanie!E$9+1&gt;0,PMT(M104/12,P104+1-SUM(AB$5:AB104),N104),Y104),0),0)</f>
        <v>-633.3334091154643</v>
      </c>
      <c r="AA104" s="90">
        <f t="shared" si="79"/>
        <v>-421.56878920774227</v>
      </c>
      <c r="AB104" s="8">
        <f>IF(AND(Podsumowanie!E$7&lt;B104,SUM(AB$5:AB103)&lt;P103),1," ")</f>
        <v>1</v>
      </c>
      <c r="AD104" s="10">
        <f>Podsumowanie!E$4-SUM(AF$5:AF103)+SUM(W$42:W104)-SUM(X$42:X104)</f>
        <v>165192.2281355522</v>
      </c>
      <c r="AE104" s="10">
        <f t="shared" si="61"/>
        <v>205.11</v>
      </c>
      <c r="AF104" s="10">
        <f t="shared" si="62"/>
        <v>505.18</v>
      </c>
      <c r="AG104" s="10">
        <f t="shared" si="63"/>
        <v>710.29</v>
      </c>
      <c r="AH104" s="10">
        <f t="shared" si="106"/>
        <v>1975.1</v>
      </c>
      <c r="AI104" s="10">
        <f>Podsumowanie!E$2-SUM(AK$5:AK103)+SUM(R$42:R104)-SUM(S$42:S104)</f>
        <v>364345.28</v>
      </c>
      <c r="AJ104" s="10">
        <f t="shared" si="65"/>
        <v>452.4</v>
      </c>
      <c r="AK104" s="10">
        <f t="shared" si="66"/>
        <v>1114.21</v>
      </c>
      <c r="AL104" s="10">
        <f t="shared" si="67"/>
        <v>1566.6100000000001</v>
      </c>
      <c r="AM104" s="10">
        <f t="shared" si="68"/>
        <v>408.4899999999998</v>
      </c>
      <c r="AO104" s="43">
        <f t="shared" si="107"/>
        <v>40269</v>
      </c>
      <c r="AP104" s="11">
        <f>AP$5+SUM(AS$5:AS103)-SUM(X$5:X104)+SUM(W$5:W104)</f>
        <v>165432.22655878417</v>
      </c>
      <c r="AQ104" s="10">
        <f t="shared" si="70"/>
        <v>-205.41168131049037</v>
      </c>
      <c r="AR104" s="10">
        <f>IF(AB104=1,IF(Q104="tak",AQ104,PMT(M104/12,P104+1-SUM(AB$5:AB104),AP104)),0)</f>
        <v>-614.3334068420003</v>
      </c>
      <c r="AS104" s="10">
        <f t="shared" si="71"/>
        <v>-408.9217255315099</v>
      </c>
      <c r="AT104" s="10">
        <f t="shared" si="72"/>
        <v>-1658.5158984513482</v>
      </c>
      <c r="AV104" s="11">
        <f>AV$5+SUM(AX$5:AX103)+SUM(W$5:W103)-SUM(X$5:X103)</f>
        <v>160236.32719148562</v>
      </c>
      <c r="AW104" s="11">
        <f t="shared" si="73"/>
        <v>-205.41168131049037</v>
      </c>
      <c r="AX104" s="11">
        <f t="shared" si="74"/>
        <v>-490.02</v>
      </c>
      <c r="AY104" s="11">
        <f t="shared" si="75"/>
        <v>-695.4316813104904</v>
      </c>
      <c r="AZ104" s="11">
        <f t="shared" si="108"/>
        <v>-1877.4569100339309</v>
      </c>
      <c r="BB104" s="191">
        <f t="shared" si="86"/>
        <v>0.0392</v>
      </c>
      <c r="BC104" s="44">
        <f>BB104+Podsumowanie!$E$6</f>
        <v>0.051199999999999996</v>
      </c>
      <c r="BD104" s="11">
        <f>BD$5+SUM(BE$5:BE103)+SUM(R$5:R103)-SUM(S$5:S103)</f>
        <v>387089.45025089436</v>
      </c>
      <c r="BE104" s="10">
        <f t="shared" si="80"/>
        <v>-543.1066503767977</v>
      </c>
      <c r="BF104" s="10">
        <f t="shared" si="78"/>
        <v>-1651.581654403816</v>
      </c>
      <c r="BG104" s="10">
        <f>IF(U104&lt;0,PMT(BC104/12,Podsumowanie!E$8-SUM(AB$5:AB104)+1,BD104),0)</f>
        <v>-2194.6883047806136</v>
      </c>
      <c r="BI104" s="11">
        <f>BI$5+SUM(BK$5:BK103)+SUM(R$5:R103)-SUM(S$5:S103)</f>
        <v>364345.40389972145</v>
      </c>
      <c r="BJ104" s="11">
        <f t="shared" si="87"/>
        <v>-1554.5403899721448</v>
      </c>
      <c r="BK104" s="11">
        <f t="shared" si="88"/>
        <v>-1114.2061281337049</v>
      </c>
      <c r="BL104" s="11">
        <f t="shared" si="89"/>
        <v>-2668.7465181058496</v>
      </c>
      <c r="BN104" s="44">
        <f t="shared" si="90"/>
        <v>0.0513</v>
      </c>
      <c r="BO104" s="11">
        <f>BO$5+SUM(BP$5:BP103)+SUM(R$5:R103)-SUM(S$5:S103)+SUM(BS$5:BS103)</f>
        <v>408225.87778386247</v>
      </c>
      <c r="BP104" s="10">
        <f t="shared" si="99"/>
        <v>-571.809942909184</v>
      </c>
      <c r="BQ104" s="10">
        <f t="shared" si="100"/>
        <v>-1745.165627526012</v>
      </c>
      <c r="BR104" s="10">
        <f>IF(U104&lt;0,PMT(BN104/12,Podsumowanie!E$8-SUM(AB$5:AB104)+1,BO104),0)</f>
        <v>-2316.975570435196</v>
      </c>
      <c r="BS104" s="10">
        <f t="shared" si="94"/>
        <v>555.8710597085064</v>
      </c>
      <c r="BU104" s="11">
        <f>BU$5+SUM(BW$5:BW103)+SUM(R$5:R103)-SUM(S$5:S103)+SUM(BY$5,BY103)</f>
        <v>365229.02347660897</v>
      </c>
      <c r="BV104" s="10">
        <f t="shared" si="91"/>
        <v>-1561.3540753625032</v>
      </c>
      <c r="BW104" s="10">
        <f t="shared" si="92"/>
        <v>-1116.9083286746452</v>
      </c>
      <c r="BX104" s="10">
        <f t="shared" si="101"/>
        <v>-2678.2624040371484</v>
      </c>
      <c r="BY104" s="10">
        <f t="shared" si="102"/>
        <v>917.1578933104588</v>
      </c>
      <c r="CA104" s="10">
        <f>CA$5+SUM(CB$5:CB103)+SUM(R$5:R103)-SUM(S$5:S103)-SUM(CC$5:CC103)</f>
        <v>404777.28312831523</v>
      </c>
      <c r="CB104" s="10">
        <f t="shared" si="95"/>
        <v>1561.3540753625032</v>
      </c>
      <c r="CC104" s="10">
        <f t="shared" si="96"/>
        <v>1761.1045107266896</v>
      </c>
      <c r="CD104" s="10">
        <f t="shared" si="97"/>
        <v>199.7504353641864</v>
      </c>
      <c r="CF104" s="44">
        <f t="shared" si="93"/>
        <v>0.595</v>
      </c>
      <c r="CG104" s="10">
        <f t="shared" si="98"/>
        <v>-1047.86</v>
      </c>
      <c r="CH104" s="4">
        <f t="shared" si="103"/>
        <v>0</v>
      </c>
    </row>
    <row r="105" spans="1:86" ht="15.75">
      <c r="A105" s="36"/>
      <c r="B105" s="37">
        <v>40299</v>
      </c>
      <c r="C105" s="77">
        <f t="shared" si="84"/>
        <v>2.8504</v>
      </c>
      <c r="D105" s="78">
        <f>C105*(1+Podsumowanie!E$11)</f>
        <v>2.935912</v>
      </c>
      <c r="E105" s="34">
        <f t="shared" si="51"/>
        <v>-633.3334091154643</v>
      </c>
      <c r="F105" s="7">
        <f t="shared" si="81"/>
        <v>-1859.411155823001</v>
      </c>
      <c r="G105" s="7">
        <f t="shared" si="53"/>
        <v>-1396.8713004773404</v>
      </c>
      <c r="H105" s="7">
        <f t="shared" si="82"/>
        <v>462.5398553456607</v>
      </c>
      <c r="I105" s="32"/>
      <c r="J105" s="4" t="str">
        <f aca="true" t="shared" si="110" ref="J105:J136">IF(H105&lt;0,"Ze względu na spadek kursu CHF, rata jest korzystniejsza niż bez klauzuli indeksacyjnej"," ")</f>
        <v xml:space="preserve"> </v>
      </c>
      <c r="K105" s="4">
        <f>IF(B105&lt;Podsumowanie!E$7,0,K104+1)</f>
        <v>35</v>
      </c>
      <c r="L105" s="100">
        <f t="shared" si="85"/>
        <v>0.0029</v>
      </c>
      <c r="M105" s="38">
        <f>L105+Podsumowanie!E$6</f>
        <v>0.0149</v>
      </c>
      <c r="N105" s="101">
        <f>MAX(Podsumowanie!E$4+SUM(AA$5:AA104)-SUM(X$5:X105)+SUM(W$5:W105),0)</f>
        <v>170127.11838479657</v>
      </c>
      <c r="O105" s="102">
        <f>MAX(Podsumowanie!E$2+SUM(V$5:V104)-SUM(S$5:S105)+SUM(R$5:R105),0)</f>
        <v>375229.9905298499</v>
      </c>
      <c r="P105" s="39">
        <f t="shared" si="56"/>
        <v>360</v>
      </c>
      <c r="Q105" s="40" t="str">
        <f>IF(AND(K105&gt;0,K105&lt;=Podsumowanie!E$9),"tak","nie")</f>
        <v>nie</v>
      </c>
      <c r="R105" s="41"/>
      <c r="S105" s="42"/>
      <c r="T105" s="88">
        <f t="shared" si="57"/>
        <v>-465.9105715745636</v>
      </c>
      <c r="U105" s="89">
        <f>IF(Q105="tak",T105,IF(P105-SUM(AB$5:AB105)+1&gt;0,IF(Podsumowanie!E$7&lt;B105,IF(SUM(AB$5:AB105)-Podsumowanie!E$9+1&gt;0,PMT(M105/12,P105+1-SUM(AB$5:AB105),O105),T105),0),0))</f>
        <v>-1396.8713004773404</v>
      </c>
      <c r="V105" s="89">
        <f t="shared" si="83"/>
        <v>-930.9607289027767</v>
      </c>
      <c r="W105" s="90" t="str">
        <f>IF(R105&gt;0,R105/(C105*(1-Podsumowanie!E$11))," ")</f>
        <v xml:space="preserve"> </v>
      </c>
      <c r="X105" s="90" t="str">
        <f aca="true" t="shared" si="111" ref="X105:X136">IF(S105&gt;0,S105/D105," ")</f>
        <v xml:space="preserve"> </v>
      </c>
      <c r="Y105" s="91">
        <f t="shared" si="109"/>
        <v>-211.24117199445575</v>
      </c>
      <c r="Z105" s="90">
        <f>IF(P105-SUM(AB$5:AB105)+1&gt;0,IF(Podsumowanie!E$7&lt;B105,IF(SUM(AB$5:AB105)-Podsumowanie!E$9+1&gt;0,PMT(M105/12,P105+1-SUM(AB$5:AB105),N105),Y105),0),0)</f>
        <v>-633.3334091154643</v>
      </c>
      <c r="AA105" s="90">
        <f t="shared" si="79"/>
        <v>-422.09223712100857</v>
      </c>
      <c r="AB105" s="8">
        <f>IF(AND(Podsumowanie!E$7&lt;B105,SUM(AB$5:AB104)&lt;P104),1," ")</f>
        <v>1</v>
      </c>
      <c r="AD105" s="10">
        <f>Podsumowanie!E$4-SUM(AF$5:AF104)+SUM(W$42:W105)-SUM(X$42:X105)</f>
        <v>164687.0481355522</v>
      </c>
      <c r="AE105" s="10">
        <f t="shared" si="61"/>
        <v>204.49</v>
      </c>
      <c r="AF105" s="10">
        <f t="shared" si="62"/>
        <v>505.17</v>
      </c>
      <c r="AG105" s="10">
        <f t="shared" si="63"/>
        <v>709.6600000000001</v>
      </c>
      <c r="AH105" s="10">
        <f aca="true" t="shared" si="112" ref="AH105:AH136">ROUND(AG105*D105,2)</f>
        <v>2083.5</v>
      </c>
      <c r="AI105" s="10">
        <f>Podsumowanie!E$2-SUM(AK$5:AK104)+SUM(R$42:R105)-SUM(S$42:S105)</f>
        <v>363231.07</v>
      </c>
      <c r="AJ105" s="10">
        <f t="shared" si="65"/>
        <v>451.01</v>
      </c>
      <c r="AK105" s="10">
        <f t="shared" si="66"/>
        <v>1114.21</v>
      </c>
      <c r="AL105" s="10">
        <f t="shared" si="67"/>
        <v>1565.22</v>
      </c>
      <c r="AM105" s="10">
        <f t="shared" si="68"/>
        <v>518.28</v>
      </c>
      <c r="AO105" s="43">
        <f aca="true" t="shared" si="113" ref="AO105:AO136">B105</f>
        <v>40299</v>
      </c>
      <c r="AP105" s="11">
        <f>AP$5+SUM(AS$5:AS104)-SUM(X$5:X105)+SUM(W$5:W105)</f>
        <v>165023.30483325268</v>
      </c>
      <c r="AQ105" s="10">
        <f t="shared" si="70"/>
        <v>-204.90393683462207</v>
      </c>
      <c r="AR105" s="10">
        <f>IF(AB105=1,IF(Q105="tak",AQ105,PMT(M105/12,P105+1-SUM(AB$5:AB105),AP105)),0)</f>
        <v>-614.3334068420004</v>
      </c>
      <c r="AS105" s="10">
        <f t="shared" si="71"/>
        <v>-409.4294700073783</v>
      </c>
      <c r="AT105" s="10">
        <f t="shared" si="72"/>
        <v>-1751.0959428624378</v>
      </c>
      <c r="AV105" s="11">
        <f>AV$5+SUM(AX$5:AX104)+SUM(W$5:W104)-SUM(X$5:X104)</f>
        <v>159746.30719148563</v>
      </c>
      <c r="AW105" s="11">
        <f t="shared" si="73"/>
        <v>-204.90393683462207</v>
      </c>
      <c r="AX105" s="11">
        <f t="shared" si="74"/>
        <v>-490.02</v>
      </c>
      <c r="AY105" s="11">
        <f t="shared" si="75"/>
        <v>-694.923936834622</v>
      </c>
      <c r="AZ105" s="11">
        <f aca="true" t="shared" si="114" ref="AZ105:AZ136">AY105*C105</f>
        <v>-1980.8111895534068</v>
      </c>
      <c r="BB105" s="191">
        <f t="shared" si="86"/>
        <v>0.0385</v>
      </c>
      <c r="BC105" s="44">
        <f>BB105+Podsumowanie!$E$6</f>
        <v>0.0505</v>
      </c>
      <c r="BD105" s="11">
        <f>BD$5+SUM(BE$5:BE104)+SUM(R$5:R104)-SUM(S$5:S104)</f>
        <v>386546.34360051755</v>
      </c>
      <c r="BE105" s="10">
        <f t="shared" si="80"/>
        <v>-551.7822378396038</v>
      </c>
      <c r="BF105" s="10">
        <f t="shared" si="78"/>
        <v>-1626.715862652178</v>
      </c>
      <c r="BG105" s="10">
        <f>IF(U105&lt;0,PMT(BC105/12,Podsumowanie!E$8-SUM(AB$5:AB105)+1,BD105),0)</f>
        <v>-2178.4981004917818</v>
      </c>
      <c r="BI105" s="11">
        <f>BI$5+SUM(BK$5:BK104)+SUM(R$5:R104)-SUM(S$5:S104)</f>
        <v>363231.19777158776</v>
      </c>
      <c r="BJ105" s="11">
        <f t="shared" si="87"/>
        <v>-1528.5979572887652</v>
      </c>
      <c r="BK105" s="11">
        <f t="shared" si="88"/>
        <v>-1114.2061281337049</v>
      </c>
      <c r="BL105" s="11">
        <f t="shared" si="89"/>
        <v>-2642.80408542247</v>
      </c>
      <c r="BN105" s="44">
        <f t="shared" si="90"/>
        <v>0.0506</v>
      </c>
      <c r="BO105" s="11">
        <f>BO$5+SUM(BP$5:BP104)+SUM(R$5:R104)-SUM(S$5:S104)+SUM(BS$5:BS104)</f>
        <v>408209.9389006618</v>
      </c>
      <c r="BP105" s="10">
        <f t="shared" si="99"/>
        <v>-581.7432511369666</v>
      </c>
      <c r="BQ105" s="10">
        <f t="shared" si="100"/>
        <v>-1721.2852423644572</v>
      </c>
      <c r="BR105" s="10">
        <f>IF(U105&lt;0,PMT(BN105/12,Podsumowanie!E$8-SUM(AB$5:AB105)+1,BO105),0)</f>
        <v>-2303.028493501424</v>
      </c>
      <c r="BS105" s="10">
        <f t="shared" si="94"/>
        <v>443.6173376784227</v>
      </c>
      <c r="BU105" s="11">
        <f>BU$5+SUM(BW$5:BW104)+SUM(R$5:R104)-SUM(S$5:S104)+SUM(BY$5,BY104)</f>
        <v>364036.0318880212</v>
      </c>
      <c r="BV105" s="10">
        <f t="shared" si="91"/>
        <v>-1535.0186011278229</v>
      </c>
      <c r="BW105" s="10">
        <f t="shared" si="92"/>
        <v>-1116.6749444417828</v>
      </c>
      <c r="BX105" s="10">
        <f t="shared" si="101"/>
        <v>-2651.6935455696057</v>
      </c>
      <c r="BY105" s="10">
        <f t="shared" si="102"/>
        <v>792.2823897466046</v>
      </c>
      <c r="CA105" s="10">
        <f>CA$5+SUM(CB$5:CB104)+SUM(R$5:R104)-SUM(S$5:S104)-SUM(CC$5:CC104)</f>
        <v>404577.5326929511</v>
      </c>
      <c r="CB105" s="10">
        <f t="shared" si="95"/>
        <v>1535.0186011278229</v>
      </c>
      <c r="CC105" s="10">
        <f t="shared" si="96"/>
        <v>1859.411155823001</v>
      </c>
      <c r="CD105" s="10">
        <f t="shared" si="97"/>
        <v>324.3925546951782</v>
      </c>
      <c r="CF105" s="44">
        <f t="shared" si="93"/>
        <v>0.5902</v>
      </c>
      <c r="CG105" s="10">
        <f t="shared" si="98"/>
        <v>-1097.42</v>
      </c>
      <c r="CH105" s="4">
        <f t="shared" si="103"/>
        <v>0</v>
      </c>
    </row>
    <row r="106" spans="1:86" ht="15.75">
      <c r="A106" s="36"/>
      <c r="B106" s="37">
        <v>40330</v>
      </c>
      <c r="C106" s="77">
        <f t="shared" si="84"/>
        <v>2.9778</v>
      </c>
      <c r="D106" s="78">
        <f>C106*(1+Podsumowanie!E$11)</f>
        <v>3.067134</v>
      </c>
      <c r="E106" s="34">
        <f aca="true" t="shared" si="115" ref="E106:E162">Z106</f>
        <v>-618.9620602796977</v>
      </c>
      <c r="F106" s="7">
        <f t="shared" si="81"/>
        <v>-1898.43957979391</v>
      </c>
      <c r="G106" s="7">
        <f aca="true" t="shared" si="116" ref="G106:G167">U106</f>
        <v>-1365.1740546840572</v>
      </c>
      <c r="H106" s="7">
        <f t="shared" si="82"/>
        <v>533.2655251098529</v>
      </c>
      <c r="I106" s="32"/>
      <c r="J106" s="4" t="str">
        <f t="shared" si="110"/>
        <v xml:space="preserve"> </v>
      </c>
      <c r="K106" s="4">
        <f>IF(B106&lt;Podsumowanie!E$7,0,K105+1)</f>
        <v>36</v>
      </c>
      <c r="L106" s="100">
        <f t="shared" si="85"/>
        <v>0.0011</v>
      </c>
      <c r="M106" s="38">
        <f>L106+Podsumowanie!E$6</f>
        <v>0.0131</v>
      </c>
      <c r="N106" s="101">
        <f>MAX(Podsumowanie!E$4+SUM(AA$5:AA105)-SUM(X$5:X106)+SUM(W$5:W106),0)</f>
        <v>169705.02614767555</v>
      </c>
      <c r="O106" s="102">
        <f>MAX(Podsumowanie!E$2+SUM(V$5:V105)-SUM(S$5:S106)+SUM(R$5:R106),0)</f>
        <v>374299.0298009471</v>
      </c>
      <c r="P106" s="39">
        <f t="shared" si="56"/>
        <v>360</v>
      </c>
      <c r="Q106" s="40" t="str">
        <f>IF(AND(K106&gt;0,K106&lt;=Podsumowanie!E$9),"tak","nie")</f>
        <v>nie</v>
      </c>
      <c r="R106" s="41"/>
      <c r="S106" s="42"/>
      <c r="T106" s="88">
        <f aca="true" t="shared" si="117" ref="T106:T169">IF(AB106=1,-O106*M106/12,0)</f>
        <v>-408.60977419936734</v>
      </c>
      <c r="U106" s="89">
        <f>IF(Q106="tak",T106,IF(P106-SUM(AB$5:AB106)+1&gt;0,IF(Podsumowanie!E$7&lt;B106,IF(SUM(AB$5:AB106)-Podsumowanie!E$9+1&gt;0,PMT(M106/12,P106+1-SUM(AB$5:AB106),O106),T106),0),0))</f>
        <v>-1365.1740546840572</v>
      </c>
      <c r="V106" s="89">
        <f t="shared" si="83"/>
        <v>-956.5642804846898</v>
      </c>
      <c r="W106" s="90" t="str">
        <f>IF(R106&gt;0,R106/(C106*(1-Podsumowanie!E$11))," ")</f>
        <v xml:space="preserve"> </v>
      </c>
      <c r="X106" s="90" t="str">
        <f t="shared" si="111"/>
        <v xml:space="preserve"> </v>
      </c>
      <c r="Y106" s="91">
        <f t="shared" si="109"/>
        <v>-185.26132021121248</v>
      </c>
      <c r="Z106" s="90">
        <f>IF(P106-SUM(AB$5:AB106)+1&gt;0,IF(Podsumowanie!E$7&lt;B106,IF(SUM(AB$5:AB106)-Podsumowanie!E$9+1&gt;0,PMT(M106/12,P106+1-SUM(AB$5:AB106),N106),Y106),0),0)</f>
        <v>-618.9620602796977</v>
      </c>
      <c r="AA106" s="90">
        <f t="shared" si="79"/>
        <v>-433.7007400684852</v>
      </c>
      <c r="AB106" s="8">
        <f>IF(AND(Podsumowanie!E$7&lt;B106,SUM(AB$5:AB105)&lt;P105),1," ")</f>
        <v>1</v>
      </c>
      <c r="AD106" s="10">
        <f>Podsumowanie!E$4-SUM(AF$5:AF105)+SUM(W$42:W106)-SUM(X$42:X106)</f>
        <v>164181.8781355522</v>
      </c>
      <c r="AE106" s="10">
        <f aca="true" t="shared" si="118" ref="AE106:AE169">IF(AB106=1,ROUND(AD106*M106/12,2),0)</f>
        <v>179.23</v>
      </c>
      <c r="AF106" s="10">
        <f aca="true" t="shared" si="119" ref="AF106:AF169">IF(Q106="tak",0,IF(AB106=1,ROUND(AD106/(P106-K106+1),2),0))</f>
        <v>505.18</v>
      </c>
      <c r="AG106" s="10">
        <f t="shared" si="63"/>
        <v>684.41</v>
      </c>
      <c r="AH106" s="10">
        <f t="shared" si="112"/>
        <v>2099.18</v>
      </c>
      <c r="AI106" s="10">
        <f>Podsumowanie!E$2-SUM(AK$5:AK105)+SUM(R$42:R106)-SUM(S$42:S106)</f>
        <v>362116.86000000004</v>
      </c>
      <c r="AJ106" s="10">
        <f aca="true" t="shared" si="120" ref="AJ106:AJ169">IF(AB106=1,ROUND(AI106*M106/12,2),0)</f>
        <v>395.31</v>
      </c>
      <c r="AK106" s="10">
        <f aca="true" t="shared" si="121" ref="AK106:AK169">IF(Q106="tak",0,IF(AB106=1,ROUND(AI106/(P106-K106+1),2),0))</f>
        <v>1114.21</v>
      </c>
      <c r="AL106" s="10">
        <f aca="true" t="shared" si="122" ref="AL106:AL169">AK106+AJ106</f>
        <v>1509.52</v>
      </c>
      <c r="AM106" s="10">
        <f aca="true" t="shared" si="123" ref="AM106:AM169">AH106-AL106</f>
        <v>589.6599999999999</v>
      </c>
      <c r="AO106" s="43">
        <f t="shared" si="113"/>
        <v>40330</v>
      </c>
      <c r="AP106" s="11">
        <f>AP$5+SUM(AS$5:AS105)-SUM(X$5:X106)+SUM(W$5:W106)</f>
        <v>164613.8753632453</v>
      </c>
      <c r="AQ106" s="10">
        <f aca="true" t="shared" si="124" ref="AQ106:AQ169">IF(AB106=1,-AP106*M106/12,0)</f>
        <v>-179.7034806048761</v>
      </c>
      <c r="AR106" s="10">
        <f>IF(AB106=1,IF(Q106="tak",AQ106,PMT(M106/12,P106+1-SUM(AB$5:AB106),AP106)),0)</f>
        <v>-600.3931984713067</v>
      </c>
      <c r="AS106" s="10">
        <f aca="true" t="shared" si="125" ref="AS106:AS169">AR106-AQ106</f>
        <v>-420.68971786643067</v>
      </c>
      <c r="AT106" s="10">
        <f aca="true" t="shared" si="126" ref="AT106:AT169">AR106*C106</f>
        <v>-1787.850866407857</v>
      </c>
      <c r="AV106" s="11">
        <f>AV$5+SUM(AX$5:AX105)+SUM(W$5:W105)-SUM(X$5:X105)</f>
        <v>159256.2871914856</v>
      </c>
      <c r="AW106" s="11">
        <f aca="true" t="shared" si="127" ref="AW106:AW169">IF(AB106=1,-AP106*M106/12,0)</f>
        <v>-179.7034806048761</v>
      </c>
      <c r="AX106" s="11">
        <f aca="true" t="shared" si="128" ref="AX106:AX169">IF(AB106=1,IF(Q106="tak",0,ROUND(-AV106/(P106-K106+1),2)),0)</f>
        <v>-490.02</v>
      </c>
      <c r="AY106" s="11">
        <f aca="true" t="shared" si="129" ref="AY106:AY111">AX106+AW106</f>
        <v>-669.723480604876</v>
      </c>
      <c r="AZ106" s="11">
        <f t="shared" si="114"/>
        <v>-1994.3025805451998</v>
      </c>
      <c r="BB106" s="191">
        <f t="shared" si="86"/>
        <v>0.0386</v>
      </c>
      <c r="BC106" s="44">
        <f>BB106+Podsumowanie!$E$6</f>
        <v>0.050600000000000006</v>
      </c>
      <c r="BD106" s="11">
        <f>BD$5+SUM(BE$5:BE105)+SUM(R$5:R105)-SUM(S$5:S105)</f>
        <v>385994.56136267795</v>
      </c>
      <c r="BE106" s="10">
        <f t="shared" si="80"/>
        <v>-553.191817496629</v>
      </c>
      <c r="BF106" s="10">
        <f aca="true" t="shared" si="130" ref="BF106:BF169">IF(BG106&lt;0,-BD106*BC106/12,0)</f>
        <v>-1627.6104004126255</v>
      </c>
      <c r="BG106" s="10">
        <f>IF(U106&lt;0,PMT(BC106/12,Podsumowanie!E$8-SUM(AB$5:AB106)+1,BD106),0)</f>
        <v>-2180.8022179092545</v>
      </c>
      <c r="BI106" s="11">
        <f>BI$5+SUM(BK$5:BK105)+SUM(R$5:R105)-SUM(S$5:S105)</f>
        <v>362116.99164345406</v>
      </c>
      <c r="BJ106" s="11">
        <f t="shared" si="87"/>
        <v>-1526.926648096565</v>
      </c>
      <c r="BK106" s="11">
        <f t="shared" si="88"/>
        <v>-1114.2061281337049</v>
      </c>
      <c r="BL106" s="11">
        <f t="shared" si="89"/>
        <v>-2641.13277623027</v>
      </c>
      <c r="BN106" s="44">
        <f t="shared" si="90"/>
        <v>0.0507</v>
      </c>
      <c r="BO106" s="11">
        <f>BO$5+SUM(BP$5:BP105)+SUM(R$5:R105)-SUM(S$5:S105)+SUM(BS$5:BS105)</f>
        <v>408071.8129872032</v>
      </c>
      <c r="BP106" s="10">
        <f t="shared" si="99"/>
        <v>-583.8686194158006</v>
      </c>
      <c r="BQ106" s="10">
        <f t="shared" si="100"/>
        <v>-1724.1034098709335</v>
      </c>
      <c r="BR106" s="10">
        <f>IF(U106&lt;0,PMT(BN106/12,Podsumowanie!E$8-SUM(AB$5:AB106)+1,BO106),0)</f>
        <v>-2307.972029286734</v>
      </c>
      <c r="BS106" s="10">
        <f t="shared" si="94"/>
        <v>409.53244949282407</v>
      </c>
      <c r="BU106" s="11">
        <f>BU$5+SUM(BW$5:BW105)+SUM(R$5:R105)-SUM(S$5:S105)+SUM(BY$5,BY105)</f>
        <v>362794.4814400156</v>
      </c>
      <c r="BV106" s="10">
        <f t="shared" si="91"/>
        <v>-1532.8066840840659</v>
      </c>
      <c r="BW106" s="10">
        <f t="shared" si="92"/>
        <v>-1116.2907121231249</v>
      </c>
      <c r="BX106" s="10">
        <f t="shared" si="101"/>
        <v>-2649.0973962071907</v>
      </c>
      <c r="BY106" s="10">
        <f t="shared" si="102"/>
        <v>750.6578164132807</v>
      </c>
      <c r="CA106" s="10">
        <f>CA$5+SUM(CB$5:CB105)+SUM(R$5:R105)-SUM(S$5:S105)-SUM(CC$5:CC105)</f>
        <v>404253.1401382559</v>
      </c>
      <c r="CB106" s="10">
        <f t="shared" si="95"/>
        <v>1532.8066840840659</v>
      </c>
      <c r="CC106" s="10">
        <f t="shared" si="96"/>
        <v>1898.43957979391</v>
      </c>
      <c r="CD106" s="10">
        <f t="shared" si="97"/>
        <v>365.6328957098442</v>
      </c>
      <c r="CF106" s="44">
        <f t="shared" si="93"/>
        <v>0.5854</v>
      </c>
      <c r="CG106" s="10">
        <f t="shared" si="98"/>
        <v>-1111.35</v>
      </c>
      <c r="CH106" s="4">
        <f t="shared" si="103"/>
        <v>0</v>
      </c>
    </row>
    <row r="107" spans="1:86" ht="15.75">
      <c r="A107" s="36"/>
      <c r="B107" s="37">
        <v>40360</v>
      </c>
      <c r="C107" s="77">
        <f t="shared" si="84"/>
        <v>3.0308</v>
      </c>
      <c r="D107" s="78">
        <f>C107*(1+Podsumowanie!E$11)</f>
        <v>3.1217240000000004</v>
      </c>
      <c r="E107" s="34">
        <f t="shared" si="115"/>
        <v>-618.9620602796978</v>
      </c>
      <c r="F107" s="7">
        <f t="shared" si="81"/>
        <v>-1932.2287186645794</v>
      </c>
      <c r="G107" s="7">
        <f t="shared" si="116"/>
        <v>-1365.1740546840572</v>
      </c>
      <c r="H107" s="7">
        <f t="shared" si="82"/>
        <v>567.0546639805223</v>
      </c>
      <c r="I107" s="32"/>
      <c r="J107" s="4" t="str">
        <f t="shared" si="110"/>
        <v xml:space="preserve"> </v>
      </c>
      <c r="K107" s="4">
        <f>IF(B107&lt;Podsumowanie!E$7,0,K106+1)</f>
        <v>37</v>
      </c>
      <c r="L107" s="100">
        <f t="shared" si="85"/>
        <v>0.0011</v>
      </c>
      <c r="M107" s="38">
        <f>L107+Podsumowanie!E$6</f>
        <v>0.0131</v>
      </c>
      <c r="N107" s="101">
        <f>MAX(Podsumowanie!E$4+SUM(AA$5:AA106)-SUM(X$5:X107)+SUM(W$5:W107),0)</f>
        <v>169271.32540760707</v>
      </c>
      <c r="O107" s="102">
        <f>MAX(Podsumowanie!E$2+SUM(V$5:V106)-SUM(S$5:S107)+SUM(R$5:R107),0)</f>
        <v>373342.4655204624</v>
      </c>
      <c r="P107" s="39">
        <f aca="true" t="shared" si="131" ref="P107:P170">P106</f>
        <v>360</v>
      </c>
      <c r="Q107" s="40" t="str">
        <f>IF(AND(K107&gt;0,K107&lt;=Podsumowanie!E$9),"tak","nie")</f>
        <v>nie</v>
      </c>
      <c r="R107" s="41"/>
      <c r="S107" s="42"/>
      <c r="T107" s="88">
        <f t="shared" si="117"/>
        <v>-407.56552485983815</v>
      </c>
      <c r="U107" s="89">
        <f>IF(Q107="tak",T107,IF(P107-SUM(AB$5:AB107)+1&gt;0,IF(Podsumowanie!E$7&lt;B107,IF(SUM(AB$5:AB107)-Podsumowanie!E$9+1&gt;0,PMT(M107/12,P107+1-SUM(AB$5:AB107),O107),T107),0),0))</f>
        <v>-1365.1740546840572</v>
      </c>
      <c r="V107" s="89">
        <f t="shared" si="83"/>
        <v>-957.608529824219</v>
      </c>
      <c r="W107" s="90" t="str">
        <f>IF(R107&gt;0,R107/(C107*(1-Podsumowanie!E$11))," ")</f>
        <v xml:space="preserve"> </v>
      </c>
      <c r="X107" s="90" t="str">
        <f t="shared" si="111"/>
        <v xml:space="preserve"> </v>
      </c>
      <c r="Y107" s="91">
        <f t="shared" si="109"/>
        <v>-184.78786356997105</v>
      </c>
      <c r="Z107" s="90">
        <f>IF(P107-SUM(AB$5:AB107)+1&gt;0,IF(Podsumowanie!E$7&lt;B107,IF(SUM(AB$5:AB107)-Podsumowanie!E$9+1&gt;0,PMT(M107/12,P107+1-SUM(AB$5:AB107),N107),Y107),0),0)</f>
        <v>-618.9620602796978</v>
      </c>
      <c r="AA107" s="90">
        <f t="shared" si="79"/>
        <v>-434.17419670972674</v>
      </c>
      <c r="AB107" s="8">
        <f>IF(AND(Podsumowanie!E$7&lt;B107,SUM(AB$5:AB106)&lt;P106),1," ")</f>
        <v>1</v>
      </c>
      <c r="AD107" s="10">
        <f>Podsumowanie!E$4-SUM(AF$5:AF106)+SUM(W$42:W107)-SUM(X$42:X107)</f>
        <v>163676.6981355522</v>
      </c>
      <c r="AE107" s="10">
        <f t="shared" si="118"/>
        <v>178.68</v>
      </c>
      <c r="AF107" s="10">
        <f t="shared" si="119"/>
        <v>505.17</v>
      </c>
      <c r="AG107" s="10">
        <f aca="true" t="shared" si="132" ref="AG107:AG170">AF107+AE107</f>
        <v>683.85</v>
      </c>
      <c r="AH107" s="10">
        <f t="shared" si="112"/>
        <v>2134.79</v>
      </c>
      <c r="AI107" s="10">
        <f>Podsumowanie!E$2-SUM(AK$5:AK106)+SUM(R$42:R107)-SUM(S$42:S107)</f>
        <v>361002.65</v>
      </c>
      <c r="AJ107" s="10">
        <f t="shared" si="120"/>
        <v>394.09</v>
      </c>
      <c r="AK107" s="10">
        <f t="shared" si="121"/>
        <v>1114.21</v>
      </c>
      <c r="AL107" s="10">
        <f t="shared" si="122"/>
        <v>1508.3</v>
      </c>
      <c r="AM107" s="10">
        <f t="shared" si="123"/>
        <v>626.49</v>
      </c>
      <c r="AO107" s="43">
        <f t="shared" si="113"/>
        <v>40360</v>
      </c>
      <c r="AP107" s="11">
        <f>AP$5+SUM(AS$5:AS106)-SUM(X$5:X107)+SUM(W$5:W107)</f>
        <v>164193.18564537886</v>
      </c>
      <c r="AQ107" s="10">
        <f t="shared" si="124"/>
        <v>-179.24422766287194</v>
      </c>
      <c r="AR107" s="10">
        <f>IF(AB107=1,IF(Q107="tak",AQ107,PMT(M107/12,P107+1-SUM(AB$5:AB107),AP107)),0)</f>
        <v>-600.3931984713067</v>
      </c>
      <c r="AS107" s="10">
        <f t="shared" si="125"/>
        <v>-421.1489708084348</v>
      </c>
      <c r="AT107" s="10">
        <f t="shared" si="126"/>
        <v>-1819.6717059268365</v>
      </c>
      <c r="AV107" s="11">
        <f>AV$5+SUM(AX$5:AX106)+SUM(W$5:W106)-SUM(X$5:X106)</f>
        <v>158766.26719148562</v>
      </c>
      <c r="AW107" s="11">
        <f t="shared" si="127"/>
        <v>-179.24422766287194</v>
      </c>
      <c r="AX107" s="11">
        <f t="shared" si="128"/>
        <v>-490.02</v>
      </c>
      <c r="AY107" s="11">
        <f t="shared" si="129"/>
        <v>-669.2642276628719</v>
      </c>
      <c r="AZ107" s="11">
        <f t="shared" si="114"/>
        <v>-2028.4060212006323</v>
      </c>
      <c r="BB107" s="191">
        <f t="shared" si="86"/>
        <v>0.0384</v>
      </c>
      <c r="BC107" s="44">
        <f>BB107+Podsumowanie!$E$6</f>
        <v>0.0504</v>
      </c>
      <c r="BD107" s="11">
        <f>BD$5+SUM(BE$5:BE106)+SUM(R$5:R106)-SUM(S$5:S106)</f>
        <v>385441.36954518134</v>
      </c>
      <c r="BE107" s="10">
        <f t="shared" si="80"/>
        <v>-557.3517455975698</v>
      </c>
      <c r="BF107" s="10">
        <f t="shared" si="130"/>
        <v>-1618.8537520897617</v>
      </c>
      <c r="BG107" s="10">
        <f>IF(U107&lt;0,PMT(BC107/12,Podsumowanie!E$8-SUM(AB$5:AB107)+1,BD107),0)</f>
        <v>-2176.2054976873314</v>
      </c>
      <c r="BI107" s="11">
        <f>BI$5+SUM(BK$5:BK106)+SUM(R$5:R106)-SUM(S$5:S106)</f>
        <v>361002.7855153203</v>
      </c>
      <c r="BJ107" s="11">
        <f t="shared" si="87"/>
        <v>-1516.2116991643452</v>
      </c>
      <c r="BK107" s="11">
        <f t="shared" si="88"/>
        <v>-1114.2061281337046</v>
      </c>
      <c r="BL107" s="11">
        <f t="shared" si="89"/>
        <v>-2630.41782729805</v>
      </c>
      <c r="BN107" s="44">
        <f t="shared" si="90"/>
        <v>0.050499999999999996</v>
      </c>
      <c r="BO107" s="11">
        <f>BO$5+SUM(BP$5:BP106)+SUM(R$5:R106)-SUM(S$5:S106)+SUM(BS$5:BS106)</f>
        <v>407897.4768172802</v>
      </c>
      <c r="BP107" s="10">
        <f t="shared" si="99"/>
        <v>-588.855965964837</v>
      </c>
      <c r="BQ107" s="10">
        <f t="shared" si="100"/>
        <v>-1716.568548272721</v>
      </c>
      <c r="BR107" s="10">
        <f>IF(U107&lt;0,PMT(BN107/12,Podsumowanie!E$8-SUM(AB$5:AB107)+1,BO107),0)</f>
        <v>-2305.424514237558</v>
      </c>
      <c r="BS107" s="10">
        <f t="shared" si="94"/>
        <v>373.19579557297857</v>
      </c>
      <c r="BU107" s="11">
        <f>BU$5+SUM(BW$5:BW106)+SUM(R$5:R106)-SUM(S$5:S106)+SUM(BY$5,BY106)</f>
        <v>361636.5661545591</v>
      </c>
      <c r="BV107" s="10">
        <f t="shared" si="91"/>
        <v>-1521.887215900436</v>
      </c>
      <c r="BW107" s="10">
        <f t="shared" si="92"/>
        <v>-1116.1622412177749</v>
      </c>
      <c r="BX107" s="10">
        <f t="shared" si="101"/>
        <v>-2638.0494571182107</v>
      </c>
      <c r="BY107" s="10">
        <f t="shared" si="102"/>
        <v>705.8207384536313</v>
      </c>
      <c r="CA107" s="10">
        <f>CA$5+SUM(CB$5:CB106)+SUM(R$5:R106)-SUM(S$5:S106)-SUM(CC$5:CC106)</f>
        <v>403887.50724254607</v>
      </c>
      <c r="CB107" s="10">
        <f t="shared" si="95"/>
        <v>1521.887215900436</v>
      </c>
      <c r="CC107" s="10">
        <f t="shared" si="96"/>
        <v>1932.2287186645794</v>
      </c>
      <c r="CD107" s="10">
        <f t="shared" si="97"/>
        <v>410.34150276414334</v>
      </c>
      <c r="CF107" s="44">
        <f t="shared" si="93"/>
        <v>0.5886</v>
      </c>
      <c r="CG107" s="10">
        <f t="shared" si="98"/>
        <v>-1137.31</v>
      </c>
      <c r="CH107" s="4">
        <f t="shared" si="103"/>
        <v>0</v>
      </c>
    </row>
    <row r="108" spans="1:86" ht="15.75">
      <c r="A108" s="36"/>
      <c r="B108" s="37">
        <v>40391</v>
      </c>
      <c r="C108" s="77">
        <f t="shared" si="84"/>
        <v>2.9725</v>
      </c>
      <c r="D108" s="78">
        <f>C108*(1+Podsumowanie!E$11)</f>
        <v>3.061675</v>
      </c>
      <c r="E108" s="34">
        <f t="shared" si="115"/>
        <v>-618.9620602796977</v>
      </c>
      <c r="F108" s="7">
        <f t="shared" si="81"/>
        <v>-1895.0606659068435</v>
      </c>
      <c r="G108" s="7">
        <f t="shared" si="116"/>
        <v>-1365.1740546840572</v>
      </c>
      <c r="H108" s="7">
        <f t="shared" si="82"/>
        <v>529.8866112227863</v>
      </c>
      <c r="I108" s="32"/>
      <c r="J108" s="4" t="str">
        <f t="shared" si="110"/>
        <v xml:space="preserve"> </v>
      </c>
      <c r="K108" s="4">
        <f>IF(B108&lt;Podsumowanie!E$7,0,K107+1)</f>
        <v>38</v>
      </c>
      <c r="L108" s="100">
        <f t="shared" si="85"/>
        <v>0.0011</v>
      </c>
      <c r="M108" s="38">
        <f>L108+Podsumowanie!E$6</f>
        <v>0.0131</v>
      </c>
      <c r="N108" s="101">
        <f>MAX(Podsumowanie!E$4+SUM(AA$5:AA107)-SUM(X$5:X108)+SUM(W$5:W108),0)</f>
        <v>168837.15121089734</v>
      </c>
      <c r="O108" s="102">
        <f>MAX(Podsumowanie!E$2+SUM(V$5:V107)-SUM(S$5:S108)+SUM(R$5:R108),0)</f>
        <v>372384.8569906382</v>
      </c>
      <c r="P108" s="39">
        <f t="shared" si="131"/>
        <v>360</v>
      </c>
      <c r="Q108" s="40" t="str">
        <f>IF(AND(K108&gt;0,K108&lt;=Podsumowanie!E$9),"tak","nie")</f>
        <v>nie</v>
      </c>
      <c r="R108" s="41"/>
      <c r="S108" s="42"/>
      <c r="T108" s="88">
        <f t="shared" si="117"/>
        <v>-406.5201355481134</v>
      </c>
      <c r="U108" s="89">
        <f>IF(Q108="tak",T108,IF(P108-SUM(AB$5:AB108)+1&gt;0,IF(Podsumowanie!E$7&lt;B108,IF(SUM(AB$5:AB108)-Podsumowanie!E$9+1&gt;0,PMT(M108/12,P108+1-SUM(AB$5:AB108),O108),T108),0),0))</f>
        <v>-1365.1740546840572</v>
      </c>
      <c r="V108" s="89">
        <f t="shared" si="83"/>
        <v>-958.6539191359439</v>
      </c>
      <c r="W108" s="90" t="str">
        <f>IF(R108&gt;0,R108/(C108*(1-Podsumowanie!E$11))," ")</f>
        <v xml:space="preserve"> </v>
      </c>
      <c r="X108" s="90" t="str">
        <f t="shared" si="111"/>
        <v xml:space="preserve"> </v>
      </c>
      <c r="Y108" s="91">
        <f t="shared" si="109"/>
        <v>-184.31389007189625</v>
      </c>
      <c r="Z108" s="90">
        <f>IF(P108-SUM(AB$5:AB108)+1&gt;0,IF(Podsumowanie!E$7&lt;B108,IF(SUM(AB$5:AB108)-Podsumowanie!E$9+1&gt;0,PMT(M108/12,P108+1-SUM(AB$5:AB108),N108),Y108),0),0)</f>
        <v>-618.9620602796977</v>
      </c>
      <c r="AA108" s="90">
        <f t="shared" si="79"/>
        <v>-434.6481702078014</v>
      </c>
      <c r="AB108" s="8">
        <f>IF(AND(Podsumowanie!E$7&lt;B108,SUM(AB$5:AB107)&lt;P107),1," ")</f>
        <v>1</v>
      </c>
      <c r="AD108" s="10">
        <f>Podsumowanie!E$4-SUM(AF$5:AF107)+SUM(W$42:W108)-SUM(X$42:X108)</f>
        <v>163171.5281355522</v>
      </c>
      <c r="AE108" s="10">
        <f t="shared" si="118"/>
        <v>178.13</v>
      </c>
      <c r="AF108" s="10">
        <f t="shared" si="119"/>
        <v>505.18</v>
      </c>
      <c r="AG108" s="10">
        <f t="shared" si="132"/>
        <v>683.31</v>
      </c>
      <c r="AH108" s="10">
        <f t="shared" si="112"/>
        <v>2092.07</v>
      </c>
      <c r="AI108" s="10">
        <f>Podsumowanie!E$2-SUM(AK$5:AK107)+SUM(R$42:R108)-SUM(S$42:S108)</f>
        <v>359888.44</v>
      </c>
      <c r="AJ108" s="10">
        <f t="shared" si="120"/>
        <v>392.88</v>
      </c>
      <c r="AK108" s="10">
        <f t="shared" si="121"/>
        <v>1114.21</v>
      </c>
      <c r="AL108" s="10">
        <f t="shared" si="122"/>
        <v>1507.0900000000001</v>
      </c>
      <c r="AM108" s="10">
        <f t="shared" si="123"/>
        <v>584.98</v>
      </c>
      <c r="AO108" s="43">
        <f t="shared" si="113"/>
        <v>40391</v>
      </c>
      <c r="AP108" s="11">
        <f>AP$5+SUM(AS$5:AS107)-SUM(X$5:X108)+SUM(W$5:W108)</f>
        <v>163772.0366745704</v>
      </c>
      <c r="AQ108" s="10">
        <f t="shared" si="124"/>
        <v>-178.78447336973935</v>
      </c>
      <c r="AR108" s="10">
        <f>IF(AB108=1,IF(Q108="tak",AQ108,PMT(M108/12,P108+1-SUM(AB$5:AB108),AP108)),0)</f>
        <v>-600.3931984713066</v>
      </c>
      <c r="AS108" s="10">
        <f t="shared" si="125"/>
        <v>-421.6087251015673</v>
      </c>
      <c r="AT108" s="10">
        <f t="shared" si="126"/>
        <v>-1784.668782455959</v>
      </c>
      <c r="AV108" s="11">
        <f>AV$5+SUM(AX$5:AX107)+SUM(W$5:W107)-SUM(X$5:X107)</f>
        <v>158276.24719148563</v>
      </c>
      <c r="AW108" s="11">
        <f t="shared" si="127"/>
        <v>-178.78447336973935</v>
      </c>
      <c r="AX108" s="11">
        <f t="shared" si="128"/>
        <v>-490.02</v>
      </c>
      <c r="AY108" s="11">
        <f t="shared" si="129"/>
        <v>-668.8044733697393</v>
      </c>
      <c r="AZ108" s="11">
        <f t="shared" si="114"/>
        <v>-1988.0212970915502</v>
      </c>
      <c r="BB108" s="191">
        <f t="shared" si="86"/>
        <v>0.0381</v>
      </c>
      <c r="BC108" s="44">
        <f>BB108+Podsumowanie!$E$6</f>
        <v>0.050100000000000006</v>
      </c>
      <c r="BD108" s="11">
        <f>BD$5+SUM(BE$5:BE107)+SUM(R$5:R107)-SUM(S$5:S107)</f>
        <v>384884.01779958373</v>
      </c>
      <c r="BE108" s="10">
        <f t="shared" si="80"/>
        <v>-562.4441493282802</v>
      </c>
      <c r="BF108" s="10">
        <f t="shared" si="130"/>
        <v>-1606.8907743132622</v>
      </c>
      <c r="BG108" s="10">
        <f>IF(U108&lt;0,PMT(BC108/12,Podsumowanie!E$8-SUM(AB$5:AB108)+1,BD108),0)</f>
        <v>-2169.3349236415424</v>
      </c>
      <c r="BI108" s="11">
        <f>BI$5+SUM(BK$5:BK107)+SUM(R$5:R107)-SUM(S$5:S107)</f>
        <v>359888.5793871866</v>
      </c>
      <c r="BJ108" s="11">
        <f t="shared" si="87"/>
        <v>-1502.5348189415045</v>
      </c>
      <c r="BK108" s="11">
        <f t="shared" si="88"/>
        <v>-1114.2061281337046</v>
      </c>
      <c r="BL108" s="11">
        <f t="shared" si="89"/>
        <v>-2616.740947075209</v>
      </c>
      <c r="BN108" s="44">
        <f t="shared" si="90"/>
        <v>0.0502</v>
      </c>
      <c r="BO108" s="11">
        <f>BO$5+SUM(BP$5:BP107)+SUM(R$5:R107)-SUM(S$5:S107)+SUM(BS$5:BS107)</f>
        <v>407681.81664688844</v>
      </c>
      <c r="BP108" s="10">
        <f t="shared" si="99"/>
        <v>-594.7865794520119</v>
      </c>
      <c r="BQ108" s="10">
        <f t="shared" si="100"/>
        <v>-1705.468932972817</v>
      </c>
      <c r="BR108" s="10">
        <f>IF(U108&lt;0,PMT(BN108/12,Podsumowanie!E$8-SUM(AB$5:AB108)+1,BO108),0)</f>
        <v>-2300.255512424829</v>
      </c>
      <c r="BS108" s="10">
        <f t="shared" si="94"/>
        <v>405.1948465179853</v>
      </c>
      <c r="BU108" s="11">
        <f>BU$5+SUM(BW$5:BW107)+SUM(R$5:R107)-SUM(S$5:S107)+SUM(BY$5,BY107)</f>
        <v>360475.5668353817</v>
      </c>
      <c r="BV108" s="10">
        <f t="shared" si="91"/>
        <v>-1507.98945459468</v>
      </c>
      <c r="BW108" s="10">
        <f t="shared" si="92"/>
        <v>-1116.0234267349279</v>
      </c>
      <c r="BX108" s="10">
        <f t="shared" si="101"/>
        <v>-2624.012881329608</v>
      </c>
      <c r="BY108" s="10">
        <f t="shared" si="102"/>
        <v>728.9522154227643</v>
      </c>
      <c r="CA108" s="10">
        <f>CA$5+SUM(CB$5:CB107)+SUM(R$5:R107)-SUM(S$5:S107)-SUM(CC$5:CC107)</f>
        <v>403477.1657397819</v>
      </c>
      <c r="CB108" s="10">
        <f t="shared" si="95"/>
        <v>1507.98945459468</v>
      </c>
      <c r="CC108" s="10">
        <f t="shared" si="96"/>
        <v>1895.0606659068435</v>
      </c>
      <c r="CD108" s="10">
        <f t="shared" si="97"/>
        <v>387.07121131216354</v>
      </c>
      <c r="CF108" s="44">
        <f t="shared" si="93"/>
        <v>0.595</v>
      </c>
      <c r="CG108" s="10">
        <f t="shared" si="98"/>
        <v>-1127.56</v>
      </c>
      <c r="CH108" s="4">
        <f t="shared" si="103"/>
        <v>0</v>
      </c>
    </row>
    <row r="109" spans="1:86" ht="15.75">
      <c r="A109" s="36"/>
      <c r="B109" s="37">
        <v>40422</v>
      </c>
      <c r="C109" s="77">
        <f t="shared" si="84"/>
        <v>3.0196</v>
      </c>
      <c r="D109" s="78">
        <f>C109*(1+Podsumowanie!E$11)</f>
        <v>3.110188</v>
      </c>
      <c r="E109" s="34">
        <f t="shared" si="115"/>
        <v>-618.9620602796978</v>
      </c>
      <c r="F109" s="7">
        <f t="shared" si="81"/>
        <v>-1925.0883723371926</v>
      </c>
      <c r="G109" s="7">
        <f t="shared" si="116"/>
        <v>-1365.1740546840574</v>
      </c>
      <c r="H109" s="7">
        <f t="shared" si="82"/>
        <v>559.9143176531352</v>
      </c>
      <c r="I109" s="32"/>
      <c r="J109" s="4" t="str">
        <f t="shared" si="110"/>
        <v xml:space="preserve"> </v>
      </c>
      <c r="K109" s="4">
        <f>IF(B109&lt;Podsumowanie!E$7,0,K108+1)</f>
        <v>39</v>
      </c>
      <c r="L109" s="100">
        <f t="shared" si="85"/>
        <v>0.0011</v>
      </c>
      <c r="M109" s="38">
        <f>L109+Podsumowanie!E$6</f>
        <v>0.0131</v>
      </c>
      <c r="N109" s="101">
        <f>MAX(Podsumowanie!E$4+SUM(AA$5:AA108)-SUM(X$5:X109)+SUM(W$5:W109),0)</f>
        <v>168402.50304068954</v>
      </c>
      <c r="O109" s="102">
        <f>MAX(Podsumowanie!E$2+SUM(V$5:V108)-SUM(S$5:S109)+SUM(R$5:R109),0)</f>
        <v>371426.20307150227</v>
      </c>
      <c r="P109" s="39">
        <f t="shared" si="131"/>
        <v>360</v>
      </c>
      <c r="Q109" s="40" t="str">
        <f>IF(AND(K109&gt;0,K109&lt;=Podsumowanie!E$9),"tak","nie")</f>
        <v>nie</v>
      </c>
      <c r="R109" s="41"/>
      <c r="S109" s="42"/>
      <c r="T109" s="88">
        <f t="shared" si="117"/>
        <v>-405.4736050197234</v>
      </c>
      <c r="U109" s="89">
        <f>IF(Q109="tak",T109,IF(P109-SUM(AB$5:AB109)+1&gt;0,IF(Podsumowanie!E$7&lt;B109,IF(SUM(AB$5:AB109)-Podsumowanie!E$9+1&gt;0,PMT(M109/12,P109+1-SUM(AB$5:AB109),O109),T109),0),0))</f>
        <v>-1365.1740546840574</v>
      </c>
      <c r="V109" s="89">
        <f t="shared" si="83"/>
        <v>-959.700449664334</v>
      </c>
      <c r="W109" s="90" t="str">
        <f>IF(R109&gt;0,R109/(C109*(1-Podsumowanie!E$11))," ")</f>
        <v xml:space="preserve"> </v>
      </c>
      <c r="X109" s="90" t="str">
        <f t="shared" si="111"/>
        <v xml:space="preserve"> </v>
      </c>
      <c r="Y109" s="91">
        <f t="shared" si="109"/>
        <v>-183.83939915275275</v>
      </c>
      <c r="Z109" s="90">
        <f>IF(P109-SUM(AB$5:AB109)+1&gt;0,IF(Podsumowanie!E$7&lt;B109,IF(SUM(AB$5:AB109)-Podsumowanie!E$9+1&gt;0,PMT(M109/12,P109+1-SUM(AB$5:AB109),N109),Y109),0),0)</f>
        <v>-618.9620602796978</v>
      </c>
      <c r="AA109" s="90">
        <f t="shared" si="79"/>
        <v>-435.122661126945</v>
      </c>
      <c r="AB109" s="8">
        <f>IF(AND(Podsumowanie!E$7&lt;B109,SUM(AB$5:AB108)&lt;P108),1," ")</f>
        <v>1</v>
      </c>
      <c r="AD109" s="10">
        <f>Podsumowanie!E$4-SUM(AF$5:AF108)+SUM(W$42:W109)-SUM(X$42:X109)</f>
        <v>162666.3481355522</v>
      </c>
      <c r="AE109" s="10">
        <f t="shared" si="118"/>
        <v>177.58</v>
      </c>
      <c r="AF109" s="10">
        <f t="shared" si="119"/>
        <v>505.17</v>
      </c>
      <c r="AG109" s="10">
        <f t="shared" si="132"/>
        <v>682.75</v>
      </c>
      <c r="AH109" s="10">
        <f t="shared" si="112"/>
        <v>2123.48</v>
      </c>
      <c r="AI109" s="10">
        <f>Podsumowanie!E$2-SUM(AK$5:AK108)+SUM(R$42:R109)-SUM(S$42:S109)</f>
        <v>358774.23000000004</v>
      </c>
      <c r="AJ109" s="10">
        <f t="shared" si="120"/>
        <v>391.66</v>
      </c>
      <c r="AK109" s="10">
        <f t="shared" si="121"/>
        <v>1114.21</v>
      </c>
      <c r="AL109" s="10">
        <f t="shared" si="122"/>
        <v>1505.8700000000001</v>
      </c>
      <c r="AM109" s="10">
        <f t="shared" si="123"/>
        <v>617.6099999999999</v>
      </c>
      <c r="AO109" s="43">
        <f t="shared" si="113"/>
        <v>40422</v>
      </c>
      <c r="AP109" s="11">
        <f>AP$5+SUM(AS$5:AS108)-SUM(X$5:X109)+SUM(W$5:W109)</f>
        <v>163350.42794946887</v>
      </c>
      <c r="AQ109" s="10">
        <f t="shared" si="124"/>
        <v>-178.3242171781702</v>
      </c>
      <c r="AR109" s="10">
        <f>IF(AB109=1,IF(Q109="tak",AQ109,PMT(M109/12,P109+1-SUM(AB$5:AB109),AP109)),0)</f>
        <v>-600.3931984713068</v>
      </c>
      <c r="AS109" s="10">
        <f t="shared" si="125"/>
        <v>-422.06898129313663</v>
      </c>
      <c r="AT109" s="10">
        <f t="shared" si="126"/>
        <v>-1812.9473021039582</v>
      </c>
      <c r="AV109" s="11">
        <f>AV$5+SUM(AX$5:AX108)+SUM(W$5:W108)-SUM(X$5:X108)</f>
        <v>157786.2271914856</v>
      </c>
      <c r="AW109" s="11">
        <f t="shared" si="127"/>
        <v>-178.3242171781702</v>
      </c>
      <c r="AX109" s="11">
        <f t="shared" si="128"/>
        <v>-490.02</v>
      </c>
      <c r="AY109" s="11">
        <f t="shared" si="129"/>
        <v>-668.3442171781702</v>
      </c>
      <c r="AZ109" s="11">
        <f t="shared" si="114"/>
        <v>-2018.1321981912029</v>
      </c>
      <c r="BB109" s="191">
        <f t="shared" si="86"/>
        <v>0.0382</v>
      </c>
      <c r="BC109" s="44">
        <f>BB109+Podsumowanie!$E$6</f>
        <v>0.050199999999999995</v>
      </c>
      <c r="BD109" s="11">
        <f>BD$5+SUM(BE$5:BE108)+SUM(R$5:R108)-SUM(S$5:S108)</f>
        <v>384321.57365025545</v>
      </c>
      <c r="BE109" s="10">
        <f t="shared" si="80"/>
        <v>-563.8734780146783</v>
      </c>
      <c r="BF109" s="10">
        <f t="shared" si="130"/>
        <v>-1607.7452497702352</v>
      </c>
      <c r="BG109" s="10">
        <f>IF(U109&lt;0,PMT(BC109/12,Podsumowanie!E$8-SUM(AB$5:AB109)+1,BD109),0)</f>
        <v>-2171.6187277849135</v>
      </c>
      <c r="BI109" s="11">
        <f>BI$5+SUM(BK$5:BK108)+SUM(R$5:R108)-SUM(S$5:S108)</f>
        <v>358774.3732590529</v>
      </c>
      <c r="BJ109" s="11">
        <f t="shared" si="87"/>
        <v>-1500.8727948003714</v>
      </c>
      <c r="BK109" s="11">
        <f t="shared" si="88"/>
        <v>-1114.2061281337046</v>
      </c>
      <c r="BL109" s="11">
        <f t="shared" si="89"/>
        <v>-2615.078922934076</v>
      </c>
      <c r="BN109" s="44">
        <f t="shared" si="90"/>
        <v>0.0503</v>
      </c>
      <c r="BO109" s="11">
        <f>BO$5+SUM(BP$5:BP108)+SUM(R$5:R108)-SUM(S$5:S108)+SUM(BS$5:BS108)</f>
        <v>407492.2249139544</v>
      </c>
      <c r="BP109" s="10">
        <f t="shared" si="99"/>
        <v>-596.8962601768305</v>
      </c>
      <c r="BQ109" s="10">
        <f t="shared" si="100"/>
        <v>-1708.0715760976589</v>
      </c>
      <c r="BR109" s="10">
        <f>IF(U109&lt;0,PMT(BN109/12,Podsumowanie!E$8-SUM(AB$5:AB109)+1,BO109),0)</f>
        <v>-2304.9678362744894</v>
      </c>
      <c r="BS109" s="10">
        <f t="shared" si="94"/>
        <v>379.8794639372968</v>
      </c>
      <c r="BU109" s="11">
        <f>BU$5+SUM(BW$5:BW108)+SUM(R$5:R108)-SUM(S$5:S108)+SUM(BY$5,BY108)</f>
        <v>359382.6748856159</v>
      </c>
      <c r="BV109" s="10">
        <f t="shared" si="91"/>
        <v>-1506.4123788955396</v>
      </c>
      <c r="BW109" s="10">
        <f t="shared" si="92"/>
        <v>-1116.0952636199252</v>
      </c>
      <c r="BX109" s="10">
        <f t="shared" si="101"/>
        <v>-2622.507642515465</v>
      </c>
      <c r="BY109" s="10">
        <f t="shared" si="102"/>
        <v>697.4192701782722</v>
      </c>
      <c r="CA109" s="10">
        <f>CA$5+SUM(CB$5:CB108)+SUM(R$5:R108)-SUM(S$5:S108)-SUM(CC$5:CC108)</f>
        <v>403090.0945284697</v>
      </c>
      <c r="CB109" s="10">
        <f t="shared" si="95"/>
        <v>1506.4123788955396</v>
      </c>
      <c r="CC109" s="10">
        <f t="shared" si="96"/>
        <v>1925.0883723371926</v>
      </c>
      <c r="CD109" s="10">
        <f t="shared" si="97"/>
        <v>418.67599344165296</v>
      </c>
      <c r="CF109" s="44">
        <f t="shared" si="93"/>
        <v>0.5855</v>
      </c>
      <c r="CG109" s="10">
        <f t="shared" si="98"/>
        <v>-1127.14</v>
      </c>
      <c r="CH109" s="4">
        <f t="shared" si="103"/>
        <v>0</v>
      </c>
    </row>
    <row r="110" spans="1:86" ht="15.75">
      <c r="A110" s="36"/>
      <c r="B110" s="37">
        <v>40452</v>
      </c>
      <c r="C110" s="77">
        <f t="shared" si="84"/>
        <v>2.9358</v>
      </c>
      <c r="D110" s="78">
        <f>C110*(1+Podsumowanie!E$11)</f>
        <v>3.023874</v>
      </c>
      <c r="E110" s="34">
        <f t="shared" si="115"/>
        <v>-618.9620602796978</v>
      </c>
      <c r="F110" s="7">
        <f t="shared" si="81"/>
        <v>-1871.6632810662109</v>
      </c>
      <c r="G110" s="7">
        <f t="shared" si="116"/>
        <v>-1365.1740546840574</v>
      </c>
      <c r="H110" s="7">
        <f t="shared" si="82"/>
        <v>506.48922638215345</v>
      </c>
      <c r="I110" s="32"/>
      <c r="J110" s="4" t="str">
        <f t="shared" si="110"/>
        <v xml:space="preserve"> </v>
      </c>
      <c r="K110" s="4">
        <f>IF(B110&lt;Podsumowanie!E$7,0,K109+1)</f>
        <v>40</v>
      </c>
      <c r="L110" s="100">
        <f t="shared" si="85"/>
        <v>0.0011</v>
      </c>
      <c r="M110" s="38">
        <f>L110+Podsumowanie!E$6</f>
        <v>0.0131</v>
      </c>
      <c r="N110" s="101">
        <f>MAX(Podsumowanie!E$4+SUM(AA$5:AA109)-SUM(X$5:X110)+SUM(W$5:W110),0)</f>
        <v>167967.38037956262</v>
      </c>
      <c r="O110" s="102">
        <f>MAX(Podsumowanie!E$2+SUM(V$5:V109)-SUM(S$5:S110)+SUM(R$5:R110),0)</f>
        <v>370466.50262183795</v>
      </c>
      <c r="P110" s="39">
        <f t="shared" si="131"/>
        <v>360</v>
      </c>
      <c r="Q110" s="40" t="str">
        <f>IF(AND(K110&gt;0,K110&lt;=Podsumowanie!E$9),"tak","nie")</f>
        <v>nie</v>
      </c>
      <c r="R110" s="41"/>
      <c r="S110" s="42"/>
      <c r="T110" s="88">
        <f t="shared" si="117"/>
        <v>-404.4259320288398</v>
      </c>
      <c r="U110" s="89">
        <f>IF(Q110="tak",T110,IF(P110-SUM(AB$5:AB110)+1&gt;0,IF(Podsumowanie!E$7&lt;B110,IF(SUM(AB$5:AB110)-Podsumowanie!E$9+1&gt;0,PMT(M110/12,P110+1-SUM(AB$5:AB110),O110),T110),0),0))</f>
        <v>-1365.1740546840574</v>
      </c>
      <c r="V110" s="89">
        <f t="shared" si="83"/>
        <v>-960.7481226552177</v>
      </c>
      <c r="W110" s="90" t="str">
        <f>IF(R110&gt;0,R110/(C110*(1-Podsumowanie!E$11))," ")</f>
        <v xml:space="preserve"> </v>
      </c>
      <c r="X110" s="90" t="str">
        <f t="shared" si="111"/>
        <v xml:space="preserve"> </v>
      </c>
      <c r="Y110" s="91">
        <f t="shared" si="109"/>
        <v>-183.36439024768922</v>
      </c>
      <c r="Z110" s="90">
        <f>IF(P110-SUM(AB$5:AB110)+1&gt;0,IF(Podsumowanie!E$7&lt;B110,IF(SUM(AB$5:AB110)-Podsumowanie!E$9+1&gt;0,PMT(M110/12,P110+1-SUM(AB$5:AB110),N110),Y110),0),0)</f>
        <v>-618.9620602796978</v>
      </c>
      <c r="AA110" s="90">
        <f t="shared" si="79"/>
        <v>-435.5976700320085</v>
      </c>
      <c r="AB110" s="8">
        <f>IF(AND(Podsumowanie!E$7&lt;B110,SUM(AB$5:AB109)&lt;P109),1," ")</f>
        <v>1</v>
      </c>
      <c r="AD110" s="10">
        <f>Podsumowanie!E$4-SUM(AF$5:AF109)+SUM(W$42:W110)-SUM(X$42:X110)</f>
        <v>162161.1781355522</v>
      </c>
      <c r="AE110" s="10">
        <f t="shared" si="118"/>
        <v>177.03</v>
      </c>
      <c r="AF110" s="10">
        <f t="shared" si="119"/>
        <v>505.18</v>
      </c>
      <c r="AG110" s="10">
        <f t="shared" si="132"/>
        <v>682.21</v>
      </c>
      <c r="AH110" s="10">
        <f t="shared" si="112"/>
        <v>2062.92</v>
      </c>
      <c r="AI110" s="10">
        <f>Podsumowanie!E$2-SUM(AK$5:AK109)+SUM(R$42:R110)-SUM(S$42:S110)</f>
        <v>357660.02</v>
      </c>
      <c r="AJ110" s="10">
        <f t="shared" si="120"/>
        <v>390.45</v>
      </c>
      <c r="AK110" s="10">
        <f t="shared" si="121"/>
        <v>1114.21</v>
      </c>
      <c r="AL110" s="10">
        <f t="shared" si="122"/>
        <v>1504.66</v>
      </c>
      <c r="AM110" s="10">
        <f t="shared" si="123"/>
        <v>558.26</v>
      </c>
      <c r="AO110" s="43">
        <f t="shared" si="113"/>
        <v>40452</v>
      </c>
      <c r="AP110" s="11">
        <f>AP$5+SUM(AS$5:AS109)-SUM(X$5:X110)+SUM(W$5:W110)</f>
        <v>162928.35896817571</v>
      </c>
      <c r="AQ110" s="10">
        <f t="shared" si="124"/>
        <v>-177.8634585402585</v>
      </c>
      <c r="AR110" s="10">
        <f>IF(AB110=1,IF(Q110="tak",AQ110,PMT(M110/12,P110+1-SUM(AB$5:AB110),AP110)),0)</f>
        <v>-600.3931984713067</v>
      </c>
      <c r="AS110" s="10">
        <f t="shared" si="125"/>
        <v>-422.5297399310482</v>
      </c>
      <c r="AT110" s="10">
        <f t="shared" si="126"/>
        <v>-1762.6343520720623</v>
      </c>
      <c r="AV110" s="11">
        <f>AV$5+SUM(AX$5:AX109)+SUM(W$5:W109)-SUM(X$5:X109)</f>
        <v>157296.20719148562</v>
      </c>
      <c r="AW110" s="11">
        <f t="shared" si="127"/>
        <v>-177.8634585402585</v>
      </c>
      <c r="AX110" s="11">
        <f t="shared" si="128"/>
        <v>-490.02</v>
      </c>
      <c r="AY110" s="11">
        <f t="shared" si="129"/>
        <v>-667.8834585402585</v>
      </c>
      <c r="AZ110" s="11">
        <f t="shared" si="114"/>
        <v>-1960.772257582491</v>
      </c>
      <c r="BB110" s="191">
        <f t="shared" si="86"/>
        <v>0.0383</v>
      </c>
      <c r="BC110" s="44">
        <f>BB110+Podsumowanie!$E$6</f>
        <v>0.0503</v>
      </c>
      <c r="BD110" s="11">
        <f>BD$5+SUM(BE$5:BE109)+SUM(R$5:R109)-SUM(S$5:S109)</f>
        <v>383757.7001722408</v>
      </c>
      <c r="BE110" s="10">
        <f t="shared" si="80"/>
        <v>-565.3141676423445</v>
      </c>
      <c r="BF110" s="10">
        <f t="shared" si="130"/>
        <v>-1608.5843598886424</v>
      </c>
      <c r="BG110" s="10">
        <f>IF(U110&lt;0,PMT(BC110/12,Podsumowanie!E$8-SUM(AB$5:AB110)+1,BD110),0)</f>
        <v>-2173.898527530987</v>
      </c>
      <c r="BI110" s="11">
        <f>BI$5+SUM(BK$5:BK109)+SUM(R$5:R109)-SUM(S$5:S109)</f>
        <v>357660.1671309192</v>
      </c>
      <c r="BJ110" s="11">
        <f t="shared" si="87"/>
        <v>-1499.192200557103</v>
      </c>
      <c r="BK110" s="11">
        <f t="shared" si="88"/>
        <v>-1114.2061281337046</v>
      </c>
      <c r="BL110" s="11">
        <f t="shared" si="89"/>
        <v>-2613.398328690808</v>
      </c>
      <c r="BN110" s="44">
        <f t="shared" si="90"/>
        <v>0.0504</v>
      </c>
      <c r="BO110" s="11">
        <f>BO$5+SUM(BP$5:BP109)+SUM(R$5:R109)-SUM(S$5:S109)+SUM(BS$5:BS109)</f>
        <v>407275.20811771485</v>
      </c>
      <c r="BP110" s="10">
        <f t="shared" si="99"/>
        <v>-598.9846641708282</v>
      </c>
      <c r="BQ110" s="10">
        <f t="shared" si="100"/>
        <v>-1710.5558740944025</v>
      </c>
      <c r="BR110" s="10">
        <f>IF(U110&lt;0,PMT(BN110/12,Podsumowanie!E$8-SUM(AB$5:AB110)+1,BO110),0)</f>
        <v>-2309.5405382652307</v>
      </c>
      <c r="BS110" s="10">
        <f t="shared" si="94"/>
        <v>437.8772571990198</v>
      </c>
      <c r="BU110" s="11">
        <f>BU$5+SUM(BW$5:BW109)+SUM(R$5:R109)-SUM(S$5:S109)+SUM(BY$5,BY109)</f>
        <v>358235.04667675146</v>
      </c>
      <c r="BV110" s="10">
        <f t="shared" si="91"/>
        <v>-1504.5871960423563</v>
      </c>
      <c r="BW110" s="10">
        <f t="shared" si="92"/>
        <v>-1115.997030145643</v>
      </c>
      <c r="BX110" s="10">
        <f t="shared" si="101"/>
        <v>-2620.5842261879993</v>
      </c>
      <c r="BY110" s="10">
        <f t="shared" si="102"/>
        <v>748.9209451217885</v>
      </c>
      <c r="CA110" s="10">
        <f>CA$5+SUM(CB$5:CB109)+SUM(R$5:R109)-SUM(S$5:S109)-SUM(CC$5:CC109)</f>
        <v>402671.4185350281</v>
      </c>
      <c r="CB110" s="10">
        <f t="shared" si="95"/>
        <v>1504.5871960423563</v>
      </c>
      <c r="CC110" s="10">
        <f t="shared" si="96"/>
        <v>1871.6632810662109</v>
      </c>
      <c r="CD110" s="10">
        <f t="shared" si="97"/>
        <v>367.0760850238546</v>
      </c>
      <c r="CF110" s="44">
        <f t="shared" si="93"/>
        <v>0.5776</v>
      </c>
      <c r="CG110" s="10">
        <f t="shared" si="98"/>
        <v>-1081.07</v>
      </c>
      <c r="CH110" s="4">
        <f t="shared" si="103"/>
        <v>0</v>
      </c>
    </row>
    <row r="111" spans="1:86" ht="15.75">
      <c r="A111" s="36"/>
      <c r="B111" s="37">
        <v>40483</v>
      </c>
      <c r="C111" s="77">
        <f t="shared" si="84"/>
        <v>2.9432</v>
      </c>
      <c r="D111" s="78">
        <f>C111*(1+Podsumowanie!E$11)</f>
        <v>3.031496</v>
      </c>
      <c r="E111" s="34">
        <f t="shared" si="115"/>
        <v>-618.9620602796979</v>
      </c>
      <c r="F111" s="7">
        <f t="shared" si="81"/>
        <v>-1876.3810098896631</v>
      </c>
      <c r="G111" s="7">
        <f t="shared" si="116"/>
        <v>-1365.1740546840572</v>
      </c>
      <c r="H111" s="7">
        <f t="shared" si="82"/>
        <v>511.20695520560594</v>
      </c>
      <c r="I111" s="32"/>
      <c r="J111" s="4" t="str">
        <f t="shared" si="110"/>
        <v xml:space="preserve"> </v>
      </c>
      <c r="K111" s="4">
        <f>IF(B111&lt;Podsumowanie!E$7,0,K110+1)</f>
        <v>41</v>
      </c>
      <c r="L111" s="100">
        <f t="shared" si="85"/>
        <v>0.0011</v>
      </c>
      <c r="M111" s="38">
        <f>L111+Podsumowanie!E$6</f>
        <v>0.0131</v>
      </c>
      <c r="N111" s="101">
        <f>MAX(Podsumowanie!E$4+SUM(AA$5:AA110)-SUM(X$5:X111)+SUM(W$5:W111),0)</f>
        <v>167531.7827095306</v>
      </c>
      <c r="O111" s="102">
        <f>MAX(Podsumowanie!E$2+SUM(V$5:V110)-SUM(S$5:S111)+SUM(R$5:R111),0)</f>
        <v>369505.7544991827</v>
      </c>
      <c r="P111" s="39">
        <f t="shared" si="131"/>
        <v>360</v>
      </c>
      <c r="Q111" s="40" t="str">
        <f>IF(AND(K111&gt;0,K111&lt;=Podsumowanie!E$9),"tak","nie")</f>
        <v>nie</v>
      </c>
      <c r="R111" s="41"/>
      <c r="S111" s="42"/>
      <c r="T111" s="88">
        <f t="shared" si="117"/>
        <v>-403.37711532827444</v>
      </c>
      <c r="U111" s="89">
        <f>IF(Q111="tak",T111,IF(P111-SUM(AB$5:AB111)+1&gt;0,IF(Podsumowanie!E$7&lt;B111,IF(SUM(AB$5:AB111)-Podsumowanie!E$9+1&gt;0,PMT(M111/12,P111+1-SUM(AB$5:AB111),O111),T111),0),0))</f>
        <v>-1365.1740546840572</v>
      </c>
      <c r="V111" s="89">
        <f t="shared" si="83"/>
        <v>-961.7969393557828</v>
      </c>
      <c r="W111" s="90" t="str">
        <f>IF(R111&gt;0,R111/(C111*(1-Podsumowanie!E$11))," ")</f>
        <v xml:space="preserve"> </v>
      </c>
      <c r="X111" s="90" t="str">
        <f t="shared" si="111"/>
        <v xml:space="preserve"> </v>
      </c>
      <c r="Y111" s="91">
        <f t="shared" si="109"/>
        <v>-182.88886279123759</v>
      </c>
      <c r="Z111" s="90">
        <f>IF(P111-SUM(AB$5:AB111)+1&gt;0,IF(Podsumowanie!E$7&lt;B111,IF(SUM(AB$5:AB111)-Podsumowanie!E$9+1&gt;0,PMT(M111/12,P111+1-SUM(AB$5:AB111),N111),Y111),0),0)</f>
        <v>-618.9620602796979</v>
      </c>
      <c r="AA111" s="90">
        <f t="shared" si="79"/>
        <v>-436.0731974884603</v>
      </c>
      <c r="AB111" s="8">
        <f>IF(AND(Podsumowanie!E$7&lt;B111,SUM(AB$5:AB110)&lt;P110),1," ")</f>
        <v>1</v>
      </c>
      <c r="AD111" s="10">
        <f>Podsumowanie!E$4-SUM(AF$5:AF110)+SUM(W$42:W111)-SUM(X$42:X111)</f>
        <v>161655.99813555222</v>
      </c>
      <c r="AE111" s="10">
        <f t="shared" si="118"/>
        <v>176.47</v>
      </c>
      <c r="AF111" s="10">
        <f t="shared" si="119"/>
        <v>505.17</v>
      </c>
      <c r="AG111" s="10">
        <f t="shared" si="132"/>
        <v>681.64</v>
      </c>
      <c r="AH111" s="10">
        <f t="shared" si="112"/>
        <v>2066.39</v>
      </c>
      <c r="AI111" s="10">
        <f>Podsumowanie!E$2-SUM(AK$5:AK110)+SUM(R$42:R111)-SUM(S$42:S111)</f>
        <v>356545.81000000006</v>
      </c>
      <c r="AJ111" s="10">
        <f t="shared" si="120"/>
        <v>389.23</v>
      </c>
      <c r="AK111" s="10">
        <f t="shared" si="121"/>
        <v>1114.21</v>
      </c>
      <c r="AL111" s="10">
        <f t="shared" si="122"/>
        <v>1503.44</v>
      </c>
      <c r="AM111" s="10">
        <f t="shared" si="123"/>
        <v>562.9499999999998</v>
      </c>
      <c r="AO111" s="43">
        <f t="shared" si="113"/>
        <v>40483</v>
      </c>
      <c r="AP111" s="11">
        <f>AP$5+SUM(AS$5:AS110)-SUM(X$5:X111)+SUM(W$5:W111)</f>
        <v>162505.82922824466</v>
      </c>
      <c r="AQ111" s="10">
        <f t="shared" si="124"/>
        <v>-177.40219690750044</v>
      </c>
      <c r="AR111" s="10">
        <f>IF(AB111=1,IF(Q111="tak",AQ111,PMT(M111/12,P111+1-SUM(AB$5:AB111),AP111)),0)</f>
        <v>-600.3931984713067</v>
      </c>
      <c r="AS111" s="10">
        <f t="shared" si="125"/>
        <v>-422.9910015638063</v>
      </c>
      <c r="AT111" s="10">
        <f t="shared" si="126"/>
        <v>-1767.07726174075</v>
      </c>
      <c r="AV111" s="11">
        <f>AV$5+SUM(AX$5:AX110)+SUM(W$5:W110)-SUM(X$5:X110)</f>
        <v>156806.1871914856</v>
      </c>
      <c r="AW111" s="11">
        <f t="shared" si="127"/>
        <v>-177.40219690750044</v>
      </c>
      <c r="AX111" s="11">
        <f t="shared" si="128"/>
        <v>-490.02</v>
      </c>
      <c r="AY111" s="11">
        <f t="shared" si="129"/>
        <v>-667.4221969075004</v>
      </c>
      <c r="AZ111" s="11">
        <f t="shared" si="114"/>
        <v>-1964.3570099381552</v>
      </c>
      <c r="BB111" s="191">
        <f t="shared" si="86"/>
        <v>0.0386</v>
      </c>
      <c r="BC111" s="44">
        <f>BB111+Podsumowanie!$E$6</f>
        <v>0.050600000000000006</v>
      </c>
      <c r="BD111" s="11">
        <f>BD$5+SUM(BE$5:BE110)+SUM(R$5:R110)-SUM(S$5:S110)</f>
        <v>383192.38600459846</v>
      </c>
      <c r="BE111" s="10">
        <f t="shared" si="80"/>
        <v>-564.9348614025025</v>
      </c>
      <c r="BF111" s="10">
        <f t="shared" si="130"/>
        <v>-1615.7945609860571</v>
      </c>
      <c r="BG111" s="10">
        <f>IF(U111&lt;0,PMT(BC111/12,Podsumowanie!E$8-SUM(AB$5:AB111)+1,BD111),0)</f>
        <v>-2180.7294223885597</v>
      </c>
      <c r="BI111" s="11">
        <f>BI$5+SUM(BK$5:BK110)+SUM(R$5:R110)-SUM(S$5:S110)</f>
        <v>356545.9610027855</v>
      </c>
      <c r="BJ111" s="11">
        <f t="shared" si="87"/>
        <v>-1503.4354688950789</v>
      </c>
      <c r="BK111" s="11">
        <f t="shared" si="88"/>
        <v>-1114.2061281337046</v>
      </c>
      <c r="BL111" s="11">
        <f t="shared" si="89"/>
        <v>-2617.6415970287835</v>
      </c>
      <c r="BN111" s="44">
        <f t="shared" si="90"/>
        <v>0.0507</v>
      </c>
      <c r="BO111" s="11">
        <f>BO$5+SUM(BP$5:BP110)+SUM(R$5:R110)-SUM(S$5:S110)+SUM(BS$5:BS110)</f>
        <v>407114.100710743</v>
      </c>
      <c r="BP111" s="10">
        <f t="shared" si="99"/>
        <v>-599.231297360383</v>
      </c>
      <c r="BQ111" s="10">
        <f t="shared" si="100"/>
        <v>-1720.0570755028893</v>
      </c>
      <c r="BR111" s="10">
        <f>IF(U111&lt;0,PMT(BN111/12,Podsumowanie!E$8-SUM(AB$5:AB111)+1,BO111),0)</f>
        <v>-2319.2883728632723</v>
      </c>
      <c r="BS111" s="10">
        <f t="shared" si="94"/>
        <v>442.9073629736092</v>
      </c>
      <c r="BU111" s="11">
        <f>BU$5+SUM(BW$5:BW110)+SUM(R$5:R110)-SUM(S$5:S110)+SUM(BY$5,BY110)</f>
        <v>357170.55132154934</v>
      </c>
      <c r="BV111" s="10">
        <f t="shared" si="91"/>
        <v>-1509.045579333546</v>
      </c>
      <c r="BW111" s="10">
        <f t="shared" si="92"/>
        <v>-1116.1579728798417</v>
      </c>
      <c r="BX111" s="10">
        <f t="shared" si="101"/>
        <v>-2625.2035522133874</v>
      </c>
      <c r="BY111" s="10">
        <f t="shared" si="102"/>
        <v>748.8225423237243</v>
      </c>
      <c r="CA111" s="10">
        <f>CA$5+SUM(CB$5:CB110)+SUM(R$5:R110)-SUM(S$5:S110)-SUM(CC$5:CC110)</f>
        <v>402304.34245000425</v>
      </c>
      <c r="CB111" s="10">
        <f t="shared" si="95"/>
        <v>1509.045579333546</v>
      </c>
      <c r="CC111" s="10">
        <f t="shared" si="96"/>
        <v>1876.3810098896631</v>
      </c>
      <c r="CD111" s="10">
        <f t="shared" si="97"/>
        <v>367.3354305561172</v>
      </c>
      <c r="CF111" s="44">
        <f t="shared" si="93"/>
        <v>0.576</v>
      </c>
      <c r="CG111" s="10">
        <f t="shared" si="98"/>
        <v>-1080.8</v>
      </c>
      <c r="CH111" s="4">
        <f t="shared" si="103"/>
        <v>0</v>
      </c>
    </row>
    <row r="112" spans="1:86" ht="15.75">
      <c r="A112" s="36"/>
      <c r="B112" s="37">
        <v>40513</v>
      </c>
      <c r="C112" s="77">
        <f t="shared" si="84"/>
        <v>3.1155</v>
      </c>
      <c r="D112" s="78">
        <f>C112*(1+Podsumowanie!E$11)</f>
        <v>3.208965</v>
      </c>
      <c r="E112" s="34">
        <f t="shared" si="115"/>
        <v>-618.9620602796978</v>
      </c>
      <c r="F112" s="7">
        <f t="shared" si="81"/>
        <v>-1986.2275877654404</v>
      </c>
      <c r="G112" s="7">
        <f t="shared" si="116"/>
        <v>-1365.1740546840574</v>
      </c>
      <c r="H112" s="7">
        <f t="shared" si="82"/>
        <v>621.053533081383</v>
      </c>
      <c r="I112" s="32"/>
      <c r="J112" s="4" t="str">
        <f t="shared" si="110"/>
        <v xml:space="preserve"> </v>
      </c>
      <c r="K112" s="4">
        <f>IF(B112&lt;Podsumowanie!E$7,0,K111+1)</f>
        <v>42</v>
      </c>
      <c r="L112" s="100">
        <f t="shared" si="85"/>
        <v>0.0011</v>
      </c>
      <c r="M112" s="38">
        <f>L112+Podsumowanie!E$6</f>
        <v>0.0131</v>
      </c>
      <c r="N112" s="101">
        <f>MAX(Podsumowanie!E$4+SUM(AA$5:AA111)-SUM(X$5:X112)+SUM(W$5:W112),0)</f>
        <v>167095.70951204214</v>
      </c>
      <c r="O112" s="102">
        <f>MAX(Podsumowanie!E$2+SUM(V$5:V111)-SUM(S$5:S112)+SUM(R$5:R112),0)</f>
        <v>368543.95755982696</v>
      </c>
      <c r="P112" s="39">
        <f t="shared" si="131"/>
        <v>360</v>
      </c>
      <c r="Q112" s="40" t="str">
        <f>IF(AND(K112&gt;0,K112&lt;=Podsumowanie!E$9),"tak","nie")</f>
        <v>nie</v>
      </c>
      <c r="R112" s="41"/>
      <c r="S112" s="42"/>
      <c r="T112" s="88">
        <f t="shared" si="117"/>
        <v>-402.3271536694778</v>
      </c>
      <c r="U112" s="89">
        <f>IF(Q112="tak",T112,IF(P112-SUM(AB$5:AB112)+1&gt;0,IF(Podsumowanie!E$7&lt;B112,IF(SUM(AB$5:AB112)-Podsumowanie!E$9+1&gt;0,PMT(M112/12,P112+1-SUM(AB$5:AB112),O112),T112),0),0))</f>
        <v>-1365.1740546840574</v>
      </c>
      <c r="V112" s="89">
        <f t="shared" si="83"/>
        <v>-962.8469010145795</v>
      </c>
      <c r="W112" s="90" t="str">
        <f>IF(R112&gt;0,R112/(C112*(1-Podsumowanie!E$11))," ")</f>
        <v xml:space="preserve"> </v>
      </c>
      <c r="X112" s="90" t="str">
        <f t="shared" si="111"/>
        <v xml:space="preserve"> </v>
      </c>
      <c r="Y112" s="91">
        <f t="shared" si="109"/>
        <v>-182.41281621731267</v>
      </c>
      <c r="Z112" s="90">
        <f>IF(P112-SUM(AB$5:AB112)+1&gt;0,IF(Podsumowanie!E$7&lt;B112,IF(SUM(AB$5:AB112)-Podsumowanie!E$9+1&gt;0,PMT(M112/12,P112+1-SUM(AB$5:AB112),N112),Y112),0),0)</f>
        <v>-618.9620602796978</v>
      </c>
      <c r="AA112" s="90">
        <f t="shared" si="79"/>
        <v>-436.5492440623851</v>
      </c>
      <c r="AB112" s="8">
        <f>IF(AND(Podsumowanie!E$7&lt;B112,SUM(AB$5:AB111)&lt;P111),1," ")</f>
        <v>1</v>
      </c>
      <c r="AD112" s="10">
        <f>Podsumowanie!E$4-SUM(AF$5:AF111)+SUM(W$42:W112)-SUM(X$42:X112)</f>
        <v>161150.8281355522</v>
      </c>
      <c r="AE112" s="10">
        <f t="shared" si="118"/>
        <v>175.92</v>
      </c>
      <c r="AF112" s="10">
        <f t="shared" si="119"/>
        <v>505.18</v>
      </c>
      <c r="AG112" s="10">
        <f t="shared" si="132"/>
        <v>681.1</v>
      </c>
      <c r="AH112" s="10">
        <f t="shared" si="112"/>
        <v>2185.63</v>
      </c>
      <c r="AI112" s="10">
        <f>Podsumowanie!E$2-SUM(AK$5:AK111)+SUM(R$42:R112)-SUM(S$42:S112)</f>
        <v>355431.60000000003</v>
      </c>
      <c r="AJ112" s="10">
        <f t="shared" si="120"/>
        <v>388.01</v>
      </c>
      <c r="AK112" s="10">
        <f t="shared" si="121"/>
        <v>1114.21</v>
      </c>
      <c r="AL112" s="10">
        <f t="shared" si="122"/>
        <v>1502.22</v>
      </c>
      <c r="AM112" s="10">
        <f t="shared" si="123"/>
        <v>683.4100000000001</v>
      </c>
      <c r="AO112" s="43">
        <f t="shared" si="113"/>
        <v>40513</v>
      </c>
      <c r="AP112" s="11">
        <f>AP$5+SUM(AS$5:AS111)-SUM(X$5:X112)+SUM(W$5:W112)</f>
        <v>162082.83822668088</v>
      </c>
      <c r="AQ112" s="10">
        <f t="shared" si="124"/>
        <v>-176.9404317307933</v>
      </c>
      <c r="AR112" s="10">
        <f>IF(AB112=1,IF(Q112="tak",AQ112,PMT(M112/12,P112+1-SUM(AB$5:AB112),AP112)),0)</f>
        <v>-600.3931984713067</v>
      </c>
      <c r="AS112" s="10">
        <f t="shared" si="125"/>
        <v>-423.4527667405134</v>
      </c>
      <c r="AT112" s="10">
        <f t="shared" si="126"/>
        <v>-1870.525009837356</v>
      </c>
      <c r="AV112" s="11">
        <f>AV$5+SUM(AX$5:AX111)+SUM(W$5:W111)-SUM(X$5:X111)</f>
        <v>156316.1671914856</v>
      </c>
      <c r="AW112" s="11">
        <f t="shared" si="127"/>
        <v>-176.9404317307933</v>
      </c>
      <c r="AX112" s="11">
        <f t="shared" si="128"/>
        <v>-490.02</v>
      </c>
      <c r="AY112" s="11">
        <f aca="true" t="shared" si="133" ref="AY112:AY175">AX112+AW112</f>
        <v>-666.9604317307933</v>
      </c>
      <c r="AZ112" s="11">
        <f t="shared" si="114"/>
        <v>-2077.9152250572865</v>
      </c>
      <c r="BB112" s="191">
        <f t="shared" si="86"/>
        <v>0.0392</v>
      </c>
      <c r="BC112" s="44">
        <f>BB112+Podsumowanie!$E$6</f>
        <v>0.051199999999999996</v>
      </c>
      <c r="BD112" s="11">
        <f>BD$5+SUM(BE$5:BE111)+SUM(R$5:R111)-SUM(S$5:S111)</f>
        <v>382627.45114319597</v>
      </c>
      <c r="BE112" s="10">
        <f t="shared" si="80"/>
        <v>-561.8479754214636</v>
      </c>
      <c r="BF112" s="10">
        <f t="shared" si="130"/>
        <v>-1632.5437915443026</v>
      </c>
      <c r="BG112" s="10">
        <f>IF(U112&lt;0,PMT(BC112/12,Podsumowanie!E$8-SUM(AB$5:AB112)+1,BD112),0)</f>
        <v>-2194.3917669657662</v>
      </c>
      <c r="BI112" s="11">
        <f>BI$5+SUM(BK$5:BK111)+SUM(R$5:R111)-SUM(S$5:S111)</f>
        <v>355431.7548746518</v>
      </c>
      <c r="BJ112" s="11">
        <f t="shared" si="87"/>
        <v>-1516.5088207985143</v>
      </c>
      <c r="BK112" s="11">
        <f t="shared" si="88"/>
        <v>-1114.2061281337046</v>
      </c>
      <c r="BL112" s="11">
        <f t="shared" si="89"/>
        <v>-2630.714948932219</v>
      </c>
      <c r="BN112" s="44">
        <f t="shared" si="90"/>
        <v>0.0513</v>
      </c>
      <c r="BO112" s="11">
        <f>BO$5+SUM(BP$5:BP111)+SUM(R$5:R111)-SUM(S$5:S111)+SUM(BS$5:BS111)</f>
        <v>406957.7767763562</v>
      </c>
      <c r="BP112" s="10">
        <f t="shared" si="99"/>
        <v>-596.6093951652269</v>
      </c>
      <c r="BQ112" s="10">
        <f t="shared" si="100"/>
        <v>-1739.7444957189227</v>
      </c>
      <c r="BR112" s="10">
        <f>IF(U112&lt;0,PMT(BN112/12,Podsumowanie!E$8-SUM(AB$5:AB112)+1,BO112),0)</f>
        <v>-2336.3538908841497</v>
      </c>
      <c r="BS112" s="10">
        <f t="shared" si="94"/>
        <v>350.1263031187093</v>
      </c>
      <c r="BU112" s="11">
        <f>BU$5+SUM(BW$5:BW111)+SUM(R$5:R111)-SUM(S$5:S111)+SUM(BY$5,BY111)</f>
        <v>356054.29494587146</v>
      </c>
      <c r="BV112" s="10">
        <f t="shared" si="91"/>
        <v>-1522.1321108936006</v>
      </c>
      <c r="BW112" s="10">
        <f t="shared" si="92"/>
        <v>-1116.1576644071206</v>
      </c>
      <c r="BX112" s="10">
        <f t="shared" si="101"/>
        <v>-2638.289775300721</v>
      </c>
      <c r="BY112" s="10">
        <f t="shared" si="102"/>
        <v>652.0621875352806</v>
      </c>
      <c r="CA112" s="10">
        <f>CA$5+SUM(CB$5:CB111)+SUM(R$5:R111)-SUM(S$5:S111)-SUM(CC$5:CC111)</f>
        <v>401937.0070194481</v>
      </c>
      <c r="CB112" s="10">
        <f t="shared" si="95"/>
        <v>1522.1321108936006</v>
      </c>
      <c r="CC112" s="10">
        <f t="shared" si="96"/>
        <v>1986.2275877654404</v>
      </c>
      <c r="CD112" s="10">
        <f t="shared" si="97"/>
        <v>464.09547687183976</v>
      </c>
      <c r="CF112" s="44">
        <f t="shared" si="93"/>
        <v>0.5697</v>
      </c>
      <c r="CG112" s="10">
        <f t="shared" si="98"/>
        <v>-1131.55</v>
      </c>
      <c r="CH112" s="4">
        <f t="shared" si="103"/>
        <v>0</v>
      </c>
    </row>
    <row r="113" spans="1:86" ht="15.75">
      <c r="A113" s="36">
        <v>2011</v>
      </c>
      <c r="B113" s="37">
        <v>40544</v>
      </c>
      <c r="C113" s="77">
        <f t="shared" si="84"/>
        <v>3.0503</v>
      </c>
      <c r="D113" s="78">
        <f>C113*(1+Podsumowanie!E$11)</f>
        <v>3.1418090000000003</v>
      </c>
      <c r="E113" s="34">
        <f t="shared" si="115"/>
        <v>-618.9620602796977</v>
      </c>
      <c r="F113" s="7">
        <f t="shared" si="81"/>
        <v>-1944.6605716452968</v>
      </c>
      <c r="G113" s="7">
        <f t="shared" si="116"/>
        <v>-1365.1740546840572</v>
      </c>
      <c r="H113" s="7">
        <f t="shared" si="82"/>
        <v>579.4865169612397</v>
      </c>
      <c r="I113" s="32"/>
      <c r="J113" s="4" t="str">
        <f t="shared" si="110"/>
        <v xml:space="preserve"> </v>
      </c>
      <c r="K113" s="4">
        <f>IF(B113&lt;Podsumowanie!E$7,0,K112+1)</f>
        <v>43</v>
      </c>
      <c r="L113" s="100">
        <f t="shared" si="85"/>
        <v>0.0011</v>
      </c>
      <c r="M113" s="38">
        <f>L113+Podsumowanie!E$6</f>
        <v>0.0131</v>
      </c>
      <c r="N113" s="101">
        <f>MAX(Podsumowanie!E$4+SUM(AA$5:AA112)-SUM(X$5:X113)+SUM(W$5:W113),0)</f>
        <v>166659.16026797975</v>
      </c>
      <c r="O113" s="102">
        <f>MAX(Podsumowanie!E$2+SUM(V$5:V112)-SUM(S$5:S113)+SUM(R$5:R113),0)</f>
        <v>367581.11065881234</v>
      </c>
      <c r="P113" s="39">
        <f t="shared" si="131"/>
        <v>360</v>
      </c>
      <c r="Q113" s="40" t="str">
        <f>IF(AND(K113&gt;0,K113&lt;=Podsumowanie!E$9),"tak","nie")</f>
        <v>nie</v>
      </c>
      <c r="R113" s="41"/>
      <c r="S113" s="42"/>
      <c r="T113" s="88">
        <f t="shared" si="117"/>
        <v>-401.2760458025368</v>
      </c>
      <c r="U113" s="89">
        <f>IF(Q113="tak",T113,IF(P113-SUM(AB$5:AB113)+1&gt;0,IF(Podsumowanie!E$7&lt;B113,IF(SUM(AB$5:AB113)-Podsumowanie!E$9+1&gt;0,PMT(M113/12,P113+1-SUM(AB$5:AB113),O113),T113),0),0))</f>
        <v>-1365.1740546840572</v>
      </c>
      <c r="V113" s="89">
        <f t="shared" si="83"/>
        <v>-963.8980088815204</v>
      </c>
      <c r="W113" s="90" t="str">
        <f>IF(R113&gt;0,R113/(C113*(1-Podsumowanie!E$11))," ")</f>
        <v xml:space="preserve"> </v>
      </c>
      <c r="X113" s="90" t="str">
        <f t="shared" si="111"/>
        <v xml:space="preserve"> </v>
      </c>
      <c r="Y113" s="91">
        <f t="shared" si="109"/>
        <v>-181.9362499592112</v>
      </c>
      <c r="Z113" s="90">
        <f>IF(P113-SUM(AB$5:AB113)+1&gt;0,IF(Podsumowanie!E$7&lt;B113,IF(SUM(AB$5:AB113)-Podsumowanie!E$9+1&gt;0,PMT(M113/12,P113+1-SUM(AB$5:AB113),N113),Y113),0),0)</f>
        <v>-618.9620602796977</v>
      </c>
      <c r="AA113" s="90">
        <f t="shared" si="79"/>
        <v>-437.02581032048647</v>
      </c>
      <c r="AB113" s="8">
        <f>IF(AND(Podsumowanie!E$7&lt;B113,SUM(AB$5:AB112)&lt;P112),1," ")</f>
        <v>1</v>
      </c>
      <c r="AD113" s="10">
        <f>Podsumowanie!E$4-SUM(AF$5:AF112)+SUM(W$42:W113)-SUM(X$42:X113)</f>
        <v>160645.6481355522</v>
      </c>
      <c r="AE113" s="10">
        <f t="shared" si="118"/>
        <v>175.37</v>
      </c>
      <c r="AF113" s="10">
        <f t="shared" si="119"/>
        <v>505.17</v>
      </c>
      <c r="AG113" s="10">
        <f t="shared" si="132"/>
        <v>680.54</v>
      </c>
      <c r="AH113" s="10">
        <f t="shared" si="112"/>
        <v>2138.13</v>
      </c>
      <c r="AI113" s="10">
        <f>Podsumowanie!E$2-SUM(AK$5:AK112)+SUM(R$42:R113)-SUM(S$42:S113)</f>
        <v>354317.39</v>
      </c>
      <c r="AJ113" s="10">
        <f t="shared" si="120"/>
        <v>386.8</v>
      </c>
      <c r="AK113" s="10">
        <f t="shared" si="121"/>
        <v>1114.21</v>
      </c>
      <c r="AL113" s="10">
        <f t="shared" si="122"/>
        <v>1501.01</v>
      </c>
      <c r="AM113" s="10">
        <f t="shared" si="123"/>
        <v>637.1200000000001</v>
      </c>
      <c r="AO113" s="43">
        <f t="shared" si="113"/>
        <v>40544</v>
      </c>
      <c r="AP113" s="11">
        <f>AP$5+SUM(AS$5:AS112)-SUM(X$5:X113)+SUM(W$5:W113)</f>
        <v>161659.38545994036</v>
      </c>
      <c r="AQ113" s="10">
        <f t="shared" si="124"/>
        <v>-176.4781624604349</v>
      </c>
      <c r="AR113" s="10">
        <f>IF(AB113=1,IF(Q113="tak",AQ113,PMT(M113/12,P113+1-SUM(AB$5:AB113),AP113)),0)</f>
        <v>-600.3931984713067</v>
      </c>
      <c r="AS113" s="10">
        <f t="shared" si="125"/>
        <v>-423.91503601087186</v>
      </c>
      <c r="AT113" s="10">
        <f t="shared" si="126"/>
        <v>-1831.3793732970269</v>
      </c>
      <c r="AV113" s="11">
        <f>AV$5+SUM(AX$5:AX112)+SUM(W$5:W112)-SUM(X$5:X112)</f>
        <v>155826.14719148562</v>
      </c>
      <c r="AW113" s="11">
        <f t="shared" si="127"/>
        <v>-176.4781624604349</v>
      </c>
      <c r="AX113" s="11">
        <f t="shared" si="128"/>
        <v>-490.02</v>
      </c>
      <c r="AY113" s="11">
        <f t="shared" si="133"/>
        <v>-666.4981624604349</v>
      </c>
      <c r="AZ113" s="11">
        <f t="shared" si="114"/>
        <v>-2033.0193449530645</v>
      </c>
      <c r="BB113" s="191">
        <f t="shared" si="86"/>
        <v>0.0401</v>
      </c>
      <c r="BC113" s="44">
        <f>BB113+Podsumowanie!$E$6</f>
        <v>0.052099999999999994</v>
      </c>
      <c r="BD113" s="11">
        <f>BD$5+SUM(BE$5:BE112)+SUM(R$5:R112)-SUM(S$5:S112)</f>
        <v>382065.6031677745</v>
      </c>
      <c r="BE113" s="10">
        <f t="shared" si="80"/>
        <v>-556.1158311318572</v>
      </c>
      <c r="BF113" s="10">
        <f t="shared" si="130"/>
        <v>-1658.8014937534208</v>
      </c>
      <c r="BG113" s="10">
        <f>IF(U113&lt;0,PMT(BC113/12,Podsumowanie!E$8-SUM(AB$5:AB113)+1,BD113),0)</f>
        <v>-2214.917324885278</v>
      </c>
      <c r="BI113" s="11">
        <f>BI$5+SUM(BK$5:BK112)+SUM(R$5:R112)-SUM(S$5:S112)</f>
        <v>354317.5487465181</v>
      </c>
      <c r="BJ113" s="11">
        <f t="shared" si="87"/>
        <v>-1538.3286908077991</v>
      </c>
      <c r="BK113" s="11">
        <f t="shared" si="88"/>
        <v>-1114.2061281337046</v>
      </c>
      <c r="BL113" s="11">
        <f t="shared" si="89"/>
        <v>-2652.5348189415035</v>
      </c>
      <c r="BN113" s="44">
        <f t="shared" si="90"/>
        <v>0.052199999999999996</v>
      </c>
      <c r="BO113" s="11">
        <f>BO$5+SUM(BP$5:BP112)+SUM(R$5:R112)-SUM(S$5:S112)+SUM(BS$5:BS112)</f>
        <v>406711.2936843097</v>
      </c>
      <c r="BP113" s="10">
        <f t="shared" si="99"/>
        <v>-591.033548040067</v>
      </c>
      <c r="BQ113" s="10">
        <f t="shared" si="100"/>
        <v>-1769.194127526747</v>
      </c>
      <c r="BR113" s="10">
        <f>IF(U113&lt;0,PMT(BN113/12,Podsumowanie!E$8-SUM(AB$5:AB113)+1,BO113),0)</f>
        <v>-2360.227675566814</v>
      </c>
      <c r="BS113" s="10">
        <f t="shared" si="94"/>
        <v>415.5671039215172</v>
      </c>
      <c r="BU113" s="11">
        <f>BU$5+SUM(BW$5:BW112)+SUM(R$5:R112)-SUM(S$5:S112)+SUM(BY$5,BY112)</f>
        <v>354841.37692667585</v>
      </c>
      <c r="BV113" s="10">
        <f t="shared" si="91"/>
        <v>-1543.5599896310398</v>
      </c>
      <c r="BW113" s="10">
        <f t="shared" si="92"/>
        <v>-1115.8533865618738</v>
      </c>
      <c r="BX113" s="10">
        <f t="shared" si="101"/>
        <v>-2659.4133761929133</v>
      </c>
      <c r="BY113" s="10">
        <f t="shared" si="102"/>
        <v>714.7528045476165</v>
      </c>
      <c r="CA113" s="10">
        <f>CA$5+SUM(CB$5:CB112)+SUM(R$5:R112)-SUM(S$5:S112)-SUM(CC$5:CC112)</f>
        <v>401472.9115425762</v>
      </c>
      <c r="CB113" s="10">
        <f t="shared" si="95"/>
        <v>1543.5599896310398</v>
      </c>
      <c r="CC113" s="10">
        <f t="shared" si="96"/>
        <v>1944.6605716452968</v>
      </c>
      <c r="CD113" s="10">
        <f t="shared" si="97"/>
        <v>401.10058201425704</v>
      </c>
      <c r="CF113" s="44">
        <f t="shared" si="93"/>
        <v>0.5511</v>
      </c>
      <c r="CG113" s="10">
        <f t="shared" si="98"/>
        <v>-1071.7</v>
      </c>
      <c r="CH113" s="4">
        <f t="shared" si="103"/>
        <v>0</v>
      </c>
    </row>
    <row r="114" spans="1:86" ht="15.75">
      <c r="A114" s="36"/>
      <c r="B114" s="37">
        <v>40575</v>
      </c>
      <c r="C114" s="77">
        <f t="shared" si="84"/>
        <v>3.0312</v>
      </c>
      <c r="D114" s="78">
        <f>C114*(1+Podsumowanie!E$11)</f>
        <v>3.1221360000000002</v>
      </c>
      <c r="E114" s="34">
        <f t="shared" si="115"/>
        <v>-618.9620602796978</v>
      </c>
      <c r="F114" s="7">
        <f t="shared" si="81"/>
        <v>-1932.4837310334146</v>
      </c>
      <c r="G114" s="7">
        <f t="shared" si="116"/>
        <v>-1365.1740546840574</v>
      </c>
      <c r="H114" s="7">
        <f t="shared" si="82"/>
        <v>567.3096763493572</v>
      </c>
      <c r="I114" s="32"/>
      <c r="J114" s="4" t="str">
        <f t="shared" si="110"/>
        <v xml:space="preserve"> </v>
      </c>
      <c r="K114" s="4">
        <f>IF(B114&lt;Podsumowanie!E$7,0,K113+1)</f>
        <v>44</v>
      </c>
      <c r="L114" s="100">
        <f t="shared" si="85"/>
        <v>0.0011</v>
      </c>
      <c r="M114" s="38">
        <f>L114+Podsumowanie!E$6</f>
        <v>0.0131</v>
      </c>
      <c r="N114" s="101">
        <f>MAX(Podsumowanie!E$4+SUM(AA$5:AA113)-SUM(X$5:X114)+SUM(W$5:W114),0)</f>
        <v>166222.13445765927</v>
      </c>
      <c r="O114" s="102">
        <f>MAX(Podsumowanie!E$2+SUM(V$5:V113)-SUM(S$5:S114)+SUM(R$5:R114),0)</f>
        <v>366617.21264993085</v>
      </c>
      <c r="P114" s="39">
        <f t="shared" si="131"/>
        <v>360</v>
      </c>
      <c r="Q114" s="40" t="str">
        <f>IF(AND(K114&gt;0,K114&lt;=Podsumowanie!E$9),"tak","nie")</f>
        <v>nie</v>
      </c>
      <c r="R114" s="41"/>
      <c r="S114" s="42"/>
      <c r="T114" s="88">
        <f t="shared" si="117"/>
        <v>-400.22379047617454</v>
      </c>
      <c r="U114" s="89">
        <f>IF(Q114="tak",T114,IF(P114-SUM(AB$5:AB114)+1&gt;0,IF(Podsumowanie!E$7&lt;B114,IF(SUM(AB$5:AB114)-Podsumowanie!E$9+1&gt;0,PMT(M114/12,P114+1-SUM(AB$5:AB114),O114),T114),0),0))</f>
        <v>-1365.1740546840574</v>
      </c>
      <c r="V114" s="89">
        <f t="shared" si="83"/>
        <v>-964.9502642078828</v>
      </c>
      <c r="W114" s="90" t="str">
        <f>IF(R114&gt;0,R114/(C114*(1-Podsumowanie!E$11))," ")</f>
        <v xml:space="preserve"> </v>
      </c>
      <c r="X114" s="90" t="str">
        <f t="shared" si="111"/>
        <v xml:space="preserve"> </v>
      </c>
      <c r="Y114" s="91">
        <f t="shared" si="109"/>
        <v>-181.4591634496114</v>
      </c>
      <c r="Z114" s="90">
        <f>IF(P114-SUM(AB$5:AB114)+1&gt;0,IF(Podsumowanie!E$7&lt;B114,IF(SUM(AB$5:AB114)-Podsumowanie!E$9+1&gt;0,PMT(M114/12,P114+1-SUM(AB$5:AB114),N114),Y114),0),0)</f>
        <v>-618.9620602796978</v>
      </c>
      <c r="AA114" s="90">
        <f t="shared" si="79"/>
        <v>-437.50289683008634</v>
      </c>
      <c r="AB114" s="8">
        <f>IF(AND(Podsumowanie!E$7&lt;B114,SUM(AB$5:AB113)&lt;P113),1," ")</f>
        <v>1</v>
      </c>
      <c r="AD114" s="10">
        <f>Podsumowanie!E$4-SUM(AF$5:AF113)+SUM(W$42:W114)-SUM(X$42:X114)</f>
        <v>160140.4781355522</v>
      </c>
      <c r="AE114" s="10">
        <f t="shared" si="118"/>
        <v>174.82</v>
      </c>
      <c r="AF114" s="10">
        <f t="shared" si="119"/>
        <v>505.18</v>
      </c>
      <c r="AG114" s="10">
        <f t="shared" si="132"/>
        <v>680</v>
      </c>
      <c r="AH114" s="10">
        <f t="shared" si="112"/>
        <v>2123.05</v>
      </c>
      <c r="AI114" s="10">
        <f>Podsumowanie!E$2-SUM(AK$5:AK113)+SUM(R$42:R114)-SUM(S$42:S114)</f>
        <v>353203.18000000005</v>
      </c>
      <c r="AJ114" s="10">
        <f t="shared" si="120"/>
        <v>385.58</v>
      </c>
      <c r="AK114" s="10">
        <f t="shared" si="121"/>
        <v>1114.21</v>
      </c>
      <c r="AL114" s="10">
        <f t="shared" si="122"/>
        <v>1499.79</v>
      </c>
      <c r="AM114" s="10">
        <f t="shared" si="123"/>
        <v>623.2600000000002</v>
      </c>
      <c r="AO114" s="43">
        <f t="shared" si="113"/>
        <v>40575</v>
      </c>
      <c r="AP114" s="11">
        <f>AP$5+SUM(AS$5:AS113)-SUM(X$5:X114)+SUM(W$5:W114)</f>
        <v>161235.47042392948</v>
      </c>
      <c r="AQ114" s="10">
        <f t="shared" si="124"/>
        <v>-176.01538854612303</v>
      </c>
      <c r="AR114" s="10">
        <f>IF(AB114=1,IF(Q114="tak",AQ114,PMT(M114/12,P114+1-SUM(AB$5:AB114),AP114)),0)</f>
        <v>-600.3931984713067</v>
      </c>
      <c r="AS114" s="10">
        <f t="shared" si="125"/>
        <v>-424.37780992518367</v>
      </c>
      <c r="AT114" s="10">
        <f t="shared" si="126"/>
        <v>-1819.911863206225</v>
      </c>
      <c r="AV114" s="11">
        <f>AV$5+SUM(AX$5:AX113)+SUM(W$5:W113)-SUM(X$5:X113)</f>
        <v>155336.1271914856</v>
      </c>
      <c r="AW114" s="11">
        <f t="shared" si="127"/>
        <v>-176.01538854612303</v>
      </c>
      <c r="AX114" s="11">
        <f t="shared" si="128"/>
        <v>-490.02</v>
      </c>
      <c r="AY114" s="11">
        <f t="shared" si="133"/>
        <v>-666.035388546123</v>
      </c>
      <c r="AZ114" s="11">
        <f t="shared" si="114"/>
        <v>-2018.8864697610084</v>
      </c>
      <c r="BB114" s="191">
        <f t="shared" si="86"/>
        <v>0.0411</v>
      </c>
      <c r="BC114" s="44">
        <f>BB114+Podsumowanie!$E$6</f>
        <v>0.053099999999999994</v>
      </c>
      <c r="BD114" s="11">
        <f>BD$5+SUM(BE$5:BE113)+SUM(R$5:R113)-SUM(S$5:S113)</f>
        <v>381509.48733664263</v>
      </c>
      <c r="BE114" s="10">
        <f t="shared" si="80"/>
        <v>-549.6020215299088</v>
      </c>
      <c r="BF114" s="10">
        <f t="shared" si="130"/>
        <v>-1688.1794814646435</v>
      </c>
      <c r="BG114" s="10">
        <f>IF(U114&lt;0,PMT(BC114/12,Podsumowanie!E$8-SUM(AB$5:AB114)+1,BD114),0)</f>
        <v>-2237.7815029945523</v>
      </c>
      <c r="BI114" s="11">
        <f>BI$5+SUM(BK$5:BK113)+SUM(R$5:R113)-SUM(S$5:S113)</f>
        <v>353203.3426183844</v>
      </c>
      <c r="BJ114" s="11">
        <f t="shared" si="87"/>
        <v>-1562.9247910863508</v>
      </c>
      <c r="BK114" s="11">
        <f t="shared" si="88"/>
        <v>-1114.2061281337046</v>
      </c>
      <c r="BL114" s="11">
        <f t="shared" si="89"/>
        <v>-2677.130919220055</v>
      </c>
      <c r="BN114" s="44">
        <f t="shared" si="90"/>
        <v>0.0532</v>
      </c>
      <c r="BO114" s="11">
        <f>BO$5+SUM(BP$5:BP113)+SUM(R$5:R113)-SUM(S$5:S113)+SUM(BS$5:BS113)</f>
        <v>406535.8272401912</v>
      </c>
      <c r="BP114" s="10">
        <f t="shared" si="99"/>
        <v>-584.7102863393059</v>
      </c>
      <c r="BQ114" s="10">
        <f t="shared" si="100"/>
        <v>-1802.308834098181</v>
      </c>
      <c r="BR114" s="10">
        <f>IF(U114&lt;0,PMT(BN114/12,Podsumowanie!E$8-SUM(AB$5:AB114)+1,BO114),0)</f>
        <v>-2387.019120437487</v>
      </c>
      <c r="BS114" s="10">
        <f t="shared" si="94"/>
        <v>454.53538940407225</v>
      </c>
      <c r="BU114" s="11">
        <f>BU$5+SUM(BW$5:BW113)+SUM(R$5:R113)-SUM(S$5:S113)+SUM(BY$5,BY113)</f>
        <v>353788.2141571263</v>
      </c>
      <c r="BV114" s="10">
        <f t="shared" si="91"/>
        <v>-1568.4610827632598</v>
      </c>
      <c r="BW114" s="10">
        <f t="shared" si="92"/>
        <v>-1116.051148760651</v>
      </c>
      <c r="BX114" s="10">
        <f t="shared" si="101"/>
        <v>-2684.5122315239105</v>
      </c>
      <c r="BY114" s="10">
        <f t="shared" si="102"/>
        <v>752.0285004904958</v>
      </c>
      <c r="CA114" s="10">
        <f>CA$5+SUM(CB$5:CB113)+SUM(R$5:R113)-SUM(S$5:S113)-SUM(CC$5:CC113)</f>
        <v>401071.81096056197</v>
      </c>
      <c r="CB114" s="10">
        <f t="shared" si="95"/>
        <v>1568.4610827632598</v>
      </c>
      <c r="CC114" s="10">
        <f t="shared" si="96"/>
        <v>1932.4837310334146</v>
      </c>
      <c r="CD114" s="10">
        <f t="shared" si="97"/>
        <v>364.02264827015483</v>
      </c>
      <c r="CF114" s="44">
        <f t="shared" si="93"/>
        <v>0.548</v>
      </c>
      <c r="CG114" s="10">
        <f t="shared" si="98"/>
        <v>-1059</v>
      </c>
      <c r="CH114" s="4">
        <f t="shared" si="103"/>
        <v>0</v>
      </c>
    </row>
    <row r="115" spans="1:86" ht="15.75">
      <c r="A115" s="36"/>
      <c r="B115" s="37">
        <v>40603</v>
      </c>
      <c r="C115" s="77">
        <f t="shared" si="84"/>
        <v>3.1188</v>
      </c>
      <c r="D115" s="78">
        <f>C115*(1+Podsumowanie!E$11)</f>
        <v>3.212364</v>
      </c>
      <c r="E115" s="34">
        <f t="shared" si="115"/>
        <v>-618.9620602796977</v>
      </c>
      <c r="F115" s="7">
        <f t="shared" si="81"/>
        <v>-1988.3314398083307</v>
      </c>
      <c r="G115" s="7">
        <f t="shared" si="116"/>
        <v>-1365.1740546840572</v>
      </c>
      <c r="H115" s="7">
        <f t="shared" si="82"/>
        <v>623.1573851242736</v>
      </c>
      <c r="I115" s="32"/>
      <c r="J115" s="4" t="str">
        <f t="shared" si="110"/>
        <v xml:space="preserve"> </v>
      </c>
      <c r="K115" s="4">
        <f>IF(B115&lt;Podsumowanie!E$7,0,K114+1)</f>
        <v>45</v>
      </c>
      <c r="L115" s="100">
        <f t="shared" si="85"/>
        <v>0.0011</v>
      </c>
      <c r="M115" s="38">
        <f>L115+Podsumowanie!E$6</f>
        <v>0.0131</v>
      </c>
      <c r="N115" s="101">
        <f>MAX(Podsumowanie!E$4+SUM(AA$5:AA114)-SUM(X$5:X115)+SUM(W$5:W115),0)</f>
        <v>165784.63156082918</v>
      </c>
      <c r="O115" s="102">
        <f>MAX(Podsumowanie!E$2+SUM(V$5:V114)-SUM(S$5:S115)+SUM(R$5:R115),0)</f>
        <v>365652.26238572295</v>
      </c>
      <c r="P115" s="39">
        <f t="shared" si="131"/>
        <v>360</v>
      </c>
      <c r="Q115" s="40" t="str">
        <f>IF(AND(K115&gt;0,K115&lt;=Podsumowanie!E$9),"tak","nie")</f>
        <v>nie</v>
      </c>
      <c r="R115" s="41"/>
      <c r="S115" s="42"/>
      <c r="T115" s="88">
        <f t="shared" si="117"/>
        <v>-399.17038643774754</v>
      </c>
      <c r="U115" s="89">
        <f>IF(Q115="tak",T115,IF(P115-SUM(AB$5:AB115)+1&gt;0,IF(Podsumowanie!E$7&lt;B115,IF(SUM(AB$5:AB115)-Podsumowanie!E$9+1&gt;0,PMT(M115/12,P115+1-SUM(AB$5:AB115),O115),T115),0),0))</f>
        <v>-1365.1740546840572</v>
      </c>
      <c r="V115" s="89">
        <f t="shared" si="83"/>
        <v>-966.0036682463096</v>
      </c>
      <c r="W115" s="90" t="str">
        <f>IF(R115&gt;0,R115/(C115*(1-Podsumowanie!E$11))," ")</f>
        <v xml:space="preserve"> </v>
      </c>
      <c r="X115" s="90" t="str">
        <f t="shared" si="111"/>
        <v xml:space="preserve"> </v>
      </c>
      <c r="Y115" s="91">
        <f t="shared" si="109"/>
        <v>-180.98155612057187</v>
      </c>
      <c r="Z115" s="90">
        <f>IF(P115-SUM(AB$5:AB115)+1&gt;0,IF(Podsumowanie!E$7&lt;B115,IF(SUM(AB$5:AB115)-Podsumowanie!E$9+1&gt;0,PMT(M115/12,P115+1-SUM(AB$5:AB115),N115),Y115),0),0)</f>
        <v>-618.9620602796977</v>
      </c>
      <c r="AA115" s="90">
        <f t="shared" si="79"/>
        <v>-437.98050415912576</v>
      </c>
      <c r="AB115" s="8">
        <f>IF(AND(Podsumowanie!E$7&lt;B115,SUM(AB$5:AB114)&lt;P114),1," ")</f>
        <v>1</v>
      </c>
      <c r="AD115" s="10">
        <f>Podsumowanie!E$4-SUM(AF$5:AF114)+SUM(W$42:W115)-SUM(X$42:X115)</f>
        <v>159635.2981355522</v>
      </c>
      <c r="AE115" s="10">
        <f t="shared" si="118"/>
        <v>174.27</v>
      </c>
      <c r="AF115" s="10">
        <f t="shared" si="119"/>
        <v>505.17</v>
      </c>
      <c r="AG115" s="10">
        <f t="shared" si="132"/>
        <v>679.44</v>
      </c>
      <c r="AH115" s="10">
        <f t="shared" si="112"/>
        <v>2182.61</v>
      </c>
      <c r="AI115" s="10">
        <f>Podsumowanie!E$2-SUM(AK$5:AK114)+SUM(R$42:R115)-SUM(S$42:S115)</f>
        <v>352088.97000000003</v>
      </c>
      <c r="AJ115" s="10">
        <f t="shared" si="120"/>
        <v>384.36</v>
      </c>
      <c r="AK115" s="10">
        <f t="shared" si="121"/>
        <v>1114.21</v>
      </c>
      <c r="AL115" s="10">
        <f t="shared" si="122"/>
        <v>1498.5700000000002</v>
      </c>
      <c r="AM115" s="10">
        <f t="shared" si="123"/>
        <v>684.04</v>
      </c>
      <c r="AO115" s="43">
        <f t="shared" si="113"/>
        <v>40603</v>
      </c>
      <c r="AP115" s="11">
        <f>AP$5+SUM(AS$5:AS114)-SUM(X$5:X115)+SUM(W$5:W115)</f>
        <v>160811.0926140043</v>
      </c>
      <c r="AQ115" s="10">
        <f t="shared" si="124"/>
        <v>-175.55210943695468</v>
      </c>
      <c r="AR115" s="10">
        <f>IF(AB115=1,IF(Q115="tak",AQ115,PMT(M115/12,P115+1-SUM(AB$5:AB115),AP115)),0)</f>
        <v>-600.3931984713067</v>
      </c>
      <c r="AS115" s="10">
        <f t="shared" si="125"/>
        <v>-424.8410890343521</v>
      </c>
      <c r="AT115" s="10">
        <f t="shared" si="126"/>
        <v>-1872.5063073923113</v>
      </c>
      <c r="AV115" s="11">
        <f>AV$5+SUM(AX$5:AX114)+SUM(W$5:W114)-SUM(X$5:X114)</f>
        <v>154846.10719148561</v>
      </c>
      <c r="AW115" s="11">
        <f t="shared" si="127"/>
        <v>-175.55210943695468</v>
      </c>
      <c r="AX115" s="11">
        <f t="shared" si="128"/>
        <v>-490.02</v>
      </c>
      <c r="AY115" s="11">
        <f t="shared" si="133"/>
        <v>-665.5721094369546</v>
      </c>
      <c r="AZ115" s="11">
        <f t="shared" si="114"/>
        <v>-2075.786294911974</v>
      </c>
      <c r="BB115" s="191">
        <f t="shared" si="86"/>
        <v>0.0418</v>
      </c>
      <c r="BC115" s="44">
        <f>BB115+Podsumowanie!$E$6</f>
        <v>0.0538</v>
      </c>
      <c r="BD115" s="11">
        <f>BD$5+SUM(BE$5:BE114)+SUM(R$5:R114)-SUM(S$5:S114)</f>
        <v>380959.8853151127</v>
      </c>
      <c r="BE115" s="10">
        <f t="shared" si="80"/>
        <v>-545.8481454506484</v>
      </c>
      <c r="BF115" s="10">
        <f t="shared" si="130"/>
        <v>-1707.9701524960885</v>
      </c>
      <c r="BG115" s="10">
        <f>IF(U115&lt;0,PMT(BC115/12,Podsumowanie!E$8-SUM(AB$5:AB115)+1,BD115),0)</f>
        <v>-2253.818297946737</v>
      </c>
      <c r="BI115" s="11">
        <f>BI$5+SUM(BK$5:BK114)+SUM(R$5:R114)-SUM(S$5:S114)</f>
        <v>352089.13649025065</v>
      </c>
      <c r="BJ115" s="11">
        <f t="shared" si="87"/>
        <v>-1578.5329619312904</v>
      </c>
      <c r="BK115" s="11">
        <f t="shared" si="88"/>
        <v>-1114.2061281337046</v>
      </c>
      <c r="BL115" s="11">
        <f t="shared" si="89"/>
        <v>-2692.7390900649953</v>
      </c>
      <c r="BN115" s="44">
        <f t="shared" si="90"/>
        <v>0.053899999999999997</v>
      </c>
      <c r="BO115" s="11">
        <f>BO$5+SUM(BP$5:BP114)+SUM(R$5:R114)-SUM(S$5:S114)+SUM(BS$5:BS114)</f>
        <v>406405.65234325593</v>
      </c>
      <c r="BP115" s="10">
        <f t="shared" si="99"/>
        <v>-581.369579770786</v>
      </c>
      <c r="BQ115" s="10">
        <f t="shared" si="100"/>
        <v>-1825.4387217751246</v>
      </c>
      <c r="BR115" s="10">
        <f>IF(U115&lt;0,PMT(BN115/12,Podsumowanie!E$8-SUM(AB$5:AB115)+1,BO115),0)</f>
        <v>-2406.8083015459106</v>
      </c>
      <c r="BS115" s="10">
        <f t="shared" si="94"/>
        <v>418.47686173757984</v>
      </c>
      <c r="BU115" s="11">
        <f>BU$5+SUM(BW$5:BW114)+SUM(R$5:R114)-SUM(S$5:S114)+SUM(BY$5,BY114)</f>
        <v>352709.43870430853</v>
      </c>
      <c r="BV115" s="10">
        <f t="shared" si="91"/>
        <v>-1584.2532288468522</v>
      </c>
      <c r="BW115" s="10">
        <f t="shared" si="92"/>
        <v>-1116.1691098237611</v>
      </c>
      <c r="BX115" s="10">
        <f t="shared" si="101"/>
        <v>-2700.4223386706135</v>
      </c>
      <c r="BY115" s="10">
        <f t="shared" si="102"/>
        <v>712.0908988622828</v>
      </c>
      <c r="CA115" s="10">
        <f>CA$5+SUM(CB$5:CB114)+SUM(R$5:R114)-SUM(S$5:S114)-SUM(CC$5:CC114)</f>
        <v>400707.78831229184</v>
      </c>
      <c r="CB115" s="10">
        <f t="shared" si="95"/>
        <v>1584.2532288468522</v>
      </c>
      <c r="CC115" s="10">
        <f t="shared" si="96"/>
        <v>1988.3314398083307</v>
      </c>
      <c r="CD115" s="10">
        <f t="shared" si="97"/>
        <v>404.0782109614786</v>
      </c>
      <c r="CF115" s="44">
        <f t="shared" si="93"/>
        <v>0.5342</v>
      </c>
      <c r="CG115" s="10">
        <f t="shared" si="98"/>
        <v>-1062.17</v>
      </c>
      <c r="CH115" s="4">
        <f t="shared" si="103"/>
        <v>0</v>
      </c>
    </row>
    <row r="116" spans="1:86" ht="15.75">
      <c r="A116" s="36"/>
      <c r="B116" s="37">
        <v>40634</v>
      </c>
      <c r="C116" s="77">
        <f t="shared" si="84"/>
        <v>3.0592</v>
      </c>
      <c r="D116" s="78">
        <f>C116*(1+Podsumowanie!E$11)</f>
        <v>3.1509760000000004</v>
      </c>
      <c r="E116" s="34">
        <f t="shared" si="115"/>
        <v>-618.9620602796978</v>
      </c>
      <c r="F116" s="7">
        <f t="shared" si="81"/>
        <v>-1950.3345968518813</v>
      </c>
      <c r="G116" s="7">
        <f t="shared" si="116"/>
        <v>-1365.1740546840572</v>
      </c>
      <c r="H116" s="7">
        <f t="shared" si="82"/>
        <v>585.1605421678241</v>
      </c>
      <c r="I116" s="32"/>
      <c r="J116" s="4" t="str">
        <f t="shared" si="110"/>
        <v xml:space="preserve"> </v>
      </c>
      <c r="K116" s="4">
        <f>IF(B116&lt;Podsumowanie!E$7,0,K115+1)</f>
        <v>46</v>
      </c>
      <c r="L116" s="100">
        <f t="shared" si="85"/>
        <v>0.0011</v>
      </c>
      <c r="M116" s="38">
        <f>L116+Podsumowanie!E$6</f>
        <v>0.0131</v>
      </c>
      <c r="N116" s="101">
        <f>MAX(Podsumowanie!E$4+SUM(AA$5:AA115)-SUM(X$5:X116)+SUM(W$5:W116),0)</f>
        <v>165346.65105667006</v>
      </c>
      <c r="O116" s="102">
        <f>MAX(Podsumowanie!E$2+SUM(V$5:V115)-SUM(S$5:S116)+SUM(R$5:R116),0)</f>
        <v>364686.2587174766</v>
      </c>
      <c r="P116" s="39">
        <f t="shared" si="131"/>
        <v>360</v>
      </c>
      <c r="Q116" s="40" t="str">
        <f>IF(AND(K116&gt;0,K116&lt;=Podsumowanie!E$9),"tak","nie")</f>
        <v>nie</v>
      </c>
      <c r="R116" s="41"/>
      <c r="S116" s="42"/>
      <c r="T116" s="88">
        <f t="shared" si="117"/>
        <v>-398.1158324332453</v>
      </c>
      <c r="U116" s="89">
        <f>IF(Q116="tak",T116,IF(P116-SUM(AB$5:AB116)+1&gt;0,IF(Podsumowanie!E$7&lt;B116,IF(SUM(AB$5:AB116)-Podsumowanie!E$9+1&gt;0,PMT(M116/12,P116+1-SUM(AB$5:AB116),O116),T116),0),0))</f>
        <v>-1365.1740546840572</v>
      </c>
      <c r="V116" s="89">
        <f t="shared" si="83"/>
        <v>-967.0582222508119</v>
      </c>
      <c r="W116" s="90" t="str">
        <f>IF(R116&gt;0,R116/(C116*(1-Podsumowanie!E$11))," ")</f>
        <v xml:space="preserve"> </v>
      </c>
      <c r="X116" s="90" t="str">
        <f t="shared" si="111"/>
        <v xml:space="preserve"> </v>
      </c>
      <c r="Y116" s="91">
        <f t="shared" si="109"/>
        <v>-180.5034274035315</v>
      </c>
      <c r="Z116" s="90">
        <f>IF(P116-SUM(AB$5:AB116)+1&gt;0,IF(Podsumowanie!E$7&lt;B116,IF(SUM(AB$5:AB116)-Podsumowanie!E$9+1&gt;0,PMT(M116/12,P116+1-SUM(AB$5:AB116),N116),Y116),0),0)</f>
        <v>-618.9620602796978</v>
      </c>
      <c r="AA116" s="90">
        <f aca="true" t="shared" si="134" ref="AA116:AA162">Z116-Y116</f>
        <v>-438.45863287616623</v>
      </c>
      <c r="AB116" s="8">
        <f>IF(AND(Podsumowanie!E$7&lt;B116,SUM(AB$5:AB115)&lt;P115),1," ")</f>
        <v>1</v>
      </c>
      <c r="AD116" s="10">
        <f>Podsumowanie!E$4-SUM(AF$5:AF115)+SUM(W$42:W116)-SUM(X$42:X116)</f>
        <v>159130.12813555222</v>
      </c>
      <c r="AE116" s="10">
        <f t="shared" si="118"/>
        <v>173.72</v>
      </c>
      <c r="AF116" s="10">
        <f t="shared" si="119"/>
        <v>505.18</v>
      </c>
      <c r="AG116" s="10">
        <f t="shared" si="132"/>
        <v>678.9</v>
      </c>
      <c r="AH116" s="10">
        <f t="shared" si="112"/>
        <v>2139.2</v>
      </c>
      <c r="AI116" s="10">
        <f>Podsumowanie!E$2-SUM(AK$5:AK115)+SUM(R$42:R116)-SUM(S$42:S116)</f>
        <v>350974.76</v>
      </c>
      <c r="AJ116" s="10">
        <f t="shared" si="120"/>
        <v>383.15</v>
      </c>
      <c r="AK116" s="10">
        <f t="shared" si="121"/>
        <v>1114.21</v>
      </c>
      <c r="AL116" s="10">
        <f t="shared" si="122"/>
        <v>1497.3600000000001</v>
      </c>
      <c r="AM116" s="10">
        <f t="shared" si="123"/>
        <v>641.8399999999997</v>
      </c>
      <c r="AO116" s="43">
        <f t="shared" si="113"/>
        <v>40634</v>
      </c>
      <c r="AP116" s="11">
        <f>AP$5+SUM(AS$5:AS115)-SUM(X$5:X116)+SUM(W$5:W116)</f>
        <v>160386.25152496994</v>
      </c>
      <c r="AQ116" s="10">
        <f t="shared" si="124"/>
        <v>-175.0883245814255</v>
      </c>
      <c r="AR116" s="10">
        <f>IF(AB116=1,IF(Q116="tak",AQ116,PMT(M116/12,P116+1-SUM(AB$5:AB116),AP116)),0)</f>
        <v>-600.3931984713067</v>
      </c>
      <c r="AS116" s="10">
        <f t="shared" si="125"/>
        <v>-425.30487388988126</v>
      </c>
      <c r="AT116" s="10">
        <f t="shared" si="126"/>
        <v>-1836.7228727634217</v>
      </c>
      <c r="AV116" s="11">
        <f>AV$5+SUM(AX$5:AX115)+SUM(W$5:W115)-SUM(X$5:X115)</f>
        <v>154356.08719148563</v>
      </c>
      <c r="AW116" s="11">
        <f t="shared" si="127"/>
        <v>-175.0883245814255</v>
      </c>
      <c r="AX116" s="11">
        <f t="shared" si="128"/>
        <v>-490.02</v>
      </c>
      <c r="AY116" s="11">
        <f t="shared" si="133"/>
        <v>-665.1083245814254</v>
      </c>
      <c r="AZ116" s="11">
        <f t="shared" si="114"/>
        <v>-2034.6993865594968</v>
      </c>
      <c r="BB116" s="191">
        <f t="shared" si="86"/>
        <v>0.0427</v>
      </c>
      <c r="BC116" s="44">
        <f>BB116+Podsumowanie!$E$6</f>
        <v>0.0547</v>
      </c>
      <c r="BD116" s="11">
        <f>BD$5+SUM(BE$5:BE115)+SUM(R$5:R115)-SUM(S$5:S115)</f>
        <v>380414.0371696621</v>
      </c>
      <c r="BE116" s="10">
        <f aca="true" t="shared" si="135" ref="BE116:BE176">IF(BG116&lt;0,BG116-BF116,0)</f>
        <v>-540.4180055909046</v>
      </c>
      <c r="BF116" s="10">
        <f t="shared" si="130"/>
        <v>-1734.0539860983763</v>
      </c>
      <c r="BG116" s="10">
        <f>IF(U116&lt;0,PMT(BC116/12,Podsumowanie!E$8-SUM(AB$5:AB116)+1,BD116),0)</f>
        <v>-2274.471991689281</v>
      </c>
      <c r="BI116" s="11">
        <f>BI$5+SUM(BK$5:BK115)+SUM(R$5:R115)-SUM(S$5:S115)</f>
        <v>350974.93036211695</v>
      </c>
      <c r="BJ116" s="11">
        <f t="shared" si="87"/>
        <v>-1599.860724233983</v>
      </c>
      <c r="BK116" s="11">
        <f t="shared" si="88"/>
        <v>-1114.2061281337046</v>
      </c>
      <c r="BL116" s="11">
        <f t="shared" si="89"/>
        <v>-2714.0668523676877</v>
      </c>
      <c r="BN116" s="44">
        <f t="shared" si="90"/>
        <v>0.0548</v>
      </c>
      <c r="BO116" s="11">
        <f>BO$5+SUM(BP$5:BP115)+SUM(R$5:R115)-SUM(S$5:S115)+SUM(BS$5:BS115)</f>
        <v>406242.75962522277</v>
      </c>
      <c r="BP116" s="10">
        <f t="shared" si="99"/>
        <v>-576.1817603420218</v>
      </c>
      <c r="BQ116" s="10">
        <f t="shared" si="100"/>
        <v>-1855.175268955184</v>
      </c>
      <c r="BR116" s="10">
        <f>IF(U116&lt;0,PMT(BN116/12,Podsumowanie!E$8-SUM(AB$5:AB116)+1,BO116),0)</f>
        <v>-2431.357029297206</v>
      </c>
      <c r="BS116" s="10">
        <f t="shared" si="94"/>
        <v>481.0224324453245</v>
      </c>
      <c r="BU116" s="11">
        <f>BU$5+SUM(BW$5:BW115)+SUM(R$5:R115)-SUM(S$5:S115)+SUM(BY$5,BY115)</f>
        <v>351553.3319928566</v>
      </c>
      <c r="BV116" s="10">
        <f t="shared" si="91"/>
        <v>-1605.4268827673784</v>
      </c>
      <c r="BW116" s="10">
        <f t="shared" si="92"/>
        <v>-1116.0423237868463</v>
      </c>
      <c r="BX116" s="10">
        <f t="shared" si="101"/>
        <v>-2721.469206554225</v>
      </c>
      <c r="BY116" s="10">
        <f t="shared" si="102"/>
        <v>771.1346097023436</v>
      </c>
      <c r="CA116" s="10">
        <f>CA$5+SUM(CB$5:CB115)+SUM(R$5:R115)-SUM(S$5:S115)-SUM(CC$5:CC115)</f>
        <v>400303.71010133036</v>
      </c>
      <c r="CB116" s="10">
        <f t="shared" si="95"/>
        <v>1605.4268827673784</v>
      </c>
      <c r="CC116" s="10">
        <f t="shared" si="96"/>
        <v>1950.3345968518813</v>
      </c>
      <c r="CD116" s="10">
        <f t="shared" si="97"/>
        <v>344.9077140845029</v>
      </c>
      <c r="CF116" s="44">
        <f t="shared" si="93"/>
        <v>0.5266</v>
      </c>
      <c r="CG116" s="10">
        <f t="shared" si="98"/>
        <v>-1027.05</v>
      </c>
      <c r="CH116" s="4">
        <f t="shared" si="103"/>
        <v>0</v>
      </c>
    </row>
    <row r="117" spans="1:86" ht="15.75">
      <c r="A117" s="36"/>
      <c r="B117" s="37">
        <v>40664</v>
      </c>
      <c r="C117" s="77">
        <f t="shared" si="84"/>
        <v>3.14</v>
      </c>
      <c r="D117" s="78">
        <f>C117*(1+Podsumowanie!E$11)</f>
        <v>3.2342000000000004</v>
      </c>
      <c r="E117" s="34">
        <f t="shared" si="115"/>
        <v>-618.9620602796979</v>
      </c>
      <c r="F117" s="7">
        <f t="shared" si="81"/>
        <v>-2001.847095356599</v>
      </c>
      <c r="G117" s="7">
        <f t="shared" si="116"/>
        <v>-1365.1740546840574</v>
      </c>
      <c r="H117" s="7">
        <f t="shared" si="82"/>
        <v>636.6730406725417</v>
      </c>
      <c r="I117" s="32"/>
      <c r="J117" s="4" t="str">
        <f t="shared" si="110"/>
        <v xml:space="preserve"> </v>
      </c>
      <c r="K117" s="4">
        <f>IF(B117&lt;Podsumowanie!E$7,0,K116+1)</f>
        <v>47</v>
      </c>
      <c r="L117" s="100">
        <f t="shared" si="85"/>
        <v>0.0011</v>
      </c>
      <c r="M117" s="38">
        <f>L117+Podsumowanie!E$6</f>
        <v>0.0131</v>
      </c>
      <c r="N117" s="101">
        <f>MAX(Podsumowanie!E$4+SUM(AA$5:AA116)-SUM(X$5:X117)+SUM(W$5:W117),0)</f>
        <v>164908.1924237939</v>
      </c>
      <c r="O117" s="102">
        <f>MAX(Podsumowanie!E$2+SUM(V$5:V116)-SUM(S$5:S117)+SUM(R$5:R117),0)</f>
        <v>363719.20049522584</v>
      </c>
      <c r="P117" s="39">
        <f t="shared" si="131"/>
        <v>360</v>
      </c>
      <c r="Q117" s="40" t="str">
        <f>IF(AND(K117&gt;0,K117&lt;=Podsumowanie!E$9),"tak","nie")</f>
        <v>nie</v>
      </c>
      <c r="R117" s="41"/>
      <c r="S117" s="42"/>
      <c r="T117" s="88">
        <f t="shared" si="117"/>
        <v>-397.0601272072882</v>
      </c>
      <c r="U117" s="89">
        <f>IF(Q117="tak",T117,IF(P117-SUM(AB$5:AB117)+1&gt;0,IF(Podsumowanie!E$7&lt;B117,IF(SUM(AB$5:AB117)-Podsumowanie!E$9+1&gt;0,PMT(M117/12,P117+1-SUM(AB$5:AB117),O117),T117),0),0))</f>
        <v>-1365.1740546840574</v>
      </c>
      <c r="V117" s="89">
        <f t="shared" si="83"/>
        <v>-968.1139274767693</v>
      </c>
      <c r="W117" s="90" t="str">
        <f>IF(R117&gt;0,R117/(C117*(1-Podsumowanie!E$11))," ")</f>
        <v xml:space="preserve"> </v>
      </c>
      <c r="X117" s="90" t="str">
        <f t="shared" si="111"/>
        <v xml:space="preserve"> </v>
      </c>
      <c r="Y117" s="91">
        <f t="shared" si="109"/>
        <v>-180.02477672930834</v>
      </c>
      <c r="Z117" s="90">
        <f>IF(P117-SUM(AB$5:AB117)+1&gt;0,IF(Podsumowanie!E$7&lt;B117,IF(SUM(AB$5:AB117)-Podsumowanie!E$9+1&gt;0,PMT(M117/12,P117+1-SUM(AB$5:AB117),N117),Y117),0),0)</f>
        <v>-618.9620602796979</v>
      </c>
      <c r="AA117" s="90">
        <f t="shared" si="134"/>
        <v>-438.93728355038957</v>
      </c>
      <c r="AB117" s="8">
        <f>IF(AND(Podsumowanie!E$7&lt;B117,SUM(AB$5:AB116)&lt;P116),1," ")</f>
        <v>1</v>
      </c>
      <c r="AD117" s="10">
        <f>Podsumowanie!E$4-SUM(AF$5:AF116)+SUM(W$42:W117)-SUM(X$42:X117)</f>
        <v>158624.9481355522</v>
      </c>
      <c r="AE117" s="10">
        <f t="shared" si="118"/>
        <v>173.17</v>
      </c>
      <c r="AF117" s="10">
        <f t="shared" si="119"/>
        <v>505.17</v>
      </c>
      <c r="AG117" s="10">
        <f t="shared" si="132"/>
        <v>678.34</v>
      </c>
      <c r="AH117" s="10">
        <f t="shared" si="112"/>
        <v>2193.89</v>
      </c>
      <c r="AI117" s="10">
        <f>Podsumowanie!E$2-SUM(AK$5:AK116)+SUM(R$42:R117)-SUM(S$42:S117)</f>
        <v>349860.55000000005</v>
      </c>
      <c r="AJ117" s="10">
        <f t="shared" si="120"/>
        <v>381.93</v>
      </c>
      <c r="AK117" s="10">
        <f t="shared" si="121"/>
        <v>1114.21</v>
      </c>
      <c r="AL117" s="10">
        <f t="shared" si="122"/>
        <v>1496.14</v>
      </c>
      <c r="AM117" s="10">
        <f t="shared" si="123"/>
        <v>697.7499999999998</v>
      </c>
      <c r="AO117" s="43">
        <f t="shared" si="113"/>
        <v>40664</v>
      </c>
      <c r="AP117" s="11">
        <f>AP$5+SUM(AS$5:AS116)-SUM(X$5:X117)+SUM(W$5:W117)</f>
        <v>159960.94665108007</v>
      </c>
      <c r="AQ117" s="10">
        <f t="shared" si="124"/>
        <v>-174.6240334274291</v>
      </c>
      <c r="AR117" s="10">
        <f>IF(AB117=1,IF(Q117="tak",AQ117,PMT(M117/12,P117+1-SUM(AB$5:AB117),AP117)),0)</f>
        <v>-600.3931984713068</v>
      </c>
      <c r="AS117" s="10">
        <f t="shared" si="125"/>
        <v>-425.7691650438777</v>
      </c>
      <c r="AT117" s="10">
        <f t="shared" si="126"/>
        <v>-1885.2346431999035</v>
      </c>
      <c r="AV117" s="11">
        <f>AV$5+SUM(AX$5:AX116)+SUM(W$5:W116)-SUM(X$5:X116)</f>
        <v>153866.0671914856</v>
      </c>
      <c r="AW117" s="11">
        <f t="shared" si="127"/>
        <v>-174.6240334274291</v>
      </c>
      <c r="AX117" s="11">
        <f t="shared" si="128"/>
        <v>-490.02</v>
      </c>
      <c r="AY117" s="11">
        <f t="shared" si="133"/>
        <v>-664.6440334274291</v>
      </c>
      <c r="AZ117" s="11">
        <f t="shared" si="114"/>
        <v>-2086.9822649621274</v>
      </c>
      <c r="BB117" s="191">
        <f t="shared" si="86"/>
        <v>0.044</v>
      </c>
      <c r="BC117" s="44">
        <f>BB117+Podsumowanie!$E$6</f>
        <v>0.055999999999999994</v>
      </c>
      <c r="BD117" s="11">
        <f>BD$5+SUM(BE$5:BE116)+SUM(R$5:R116)-SUM(S$5:S116)</f>
        <v>379873.61916407116</v>
      </c>
      <c r="BE117" s="10">
        <f t="shared" si="135"/>
        <v>-531.6547060306764</v>
      </c>
      <c r="BF117" s="10">
        <f t="shared" si="130"/>
        <v>-1772.7435560989986</v>
      </c>
      <c r="BG117" s="10">
        <f>IF(U117&lt;0,PMT(BC117/12,Podsumowanie!E$8-SUM(AB$5:AB117)+1,BD117),0)</f>
        <v>-2304.398262129675</v>
      </c>
      <c r="BI117" s="11">
        <f>BI$5+SUM(BK$5:BK116)+SUM(R$5:R116)-SUM(S$5:S116)</f>
        <v>349860.72423398326</v>
      </c>
      <c r="BJ117" s="11">
        <f t="shared" si="87"/>
        <v>-1632.6833797585884</v>
      </c>
      <c r="BK117" s="11">
        <f t="shared" si="88"/>
        <v>-1114.2061281337046</v>
      </c>
      <c r="BL117" s="11">
        <f t="shared" si="89"/>
        <v>-2746.8895078922933</v>
      </c>
      <c r="BN117" s="44">
        <f t="shared" si="90"/>
        <v>0.0561</v>
      </c>
      <c r="BO117" s="11">
        <f>BO$5+SUM(BP$5:BP116)+SUM(R$5:R116)-SUM(S$5:S116)+SUM(BS$5:BS116)</f>
        <v>406147.60029732605</v>
      </c>
      <c r="BP117" s="10">
        <f t="shared" si="99"/>
        <v>-567.5116731098722</v>
      </c>
      <c r="BQ117" s="10">
        <f t="shared" si="100"/>
        <v>-1898.740031389999</v>
      </c>
      <c r="BR117" s="10">
        <f>IF(U117&lt;0,PMT(BN117/12,Podsumowanie!E$8-SUM(AB$5:AB117)+1,BO117),0)</f>
        <v>-2466.2517044998713</v>
      </c>
      <c r="BS117" s="10">
        <f t="shared" si="94"/>
        <v>464.4046091432722</v>
      </c>
      <c r="BU117" s="11">
        <f>BU$5+SUM(BW$5:BW116)+SUM(R$5:R116)-SUM(S$5:S116)+SUM(BY$5,BY116)</f>
        <v>350496.3333799098</v>
      </c>
      <c r="BV117" s="10">
        <f t="shared" si="91"/>
        <v>-1638.5703585510782</v>
      </c>
      <c r="BW117" s="10">
        <f t="shared" si="92"/>
        <v>-1116.2303610825154</v>
      </c>
      <c r="BX117" s="10">
        <f t="shared" si="101"/>
        <v>-2754.800719633594</v>
      </c>
      <c r="BY117" s="10">
        <f t="shared" si="102"/>
        <v>752.9536242769948</v>
      </c>
      <c r="CA117" s="10">
        <f>CA$5+SUM(CB$5:CB116)+SUM(R$5:R116)-SUM(S$5:S116)-SUM(CC$5:CC116)</f>
        <v>399958.8023872459</v>
      </c>
      <c r="CB117" s="10">
        <f t="shared" si="95"/>
        <v>1638.5703585510782</v>
      </c>
      <c r="CC117" s="10">
        <f t="shared" si="96"/>
        <v>2001.847095356599</v>
      </c>
      <c r="CD117" s="10">
        <f t="shared" si="97"/>
        <v>363.27673680552084</v>
      </c>
      <c r="CF117" s="44">
        <f t="shared" si="93"/>
        <v>0.5175</v>
      </c>
      <c r="CG117" s="10">
        <f t="shared" si="98"/>
        <v>-1035.96</v>
      </c>
      <c r="CH117" s="4">
        <f t="shared" si="103"/>
        <v>0</v>
      </c>
    </row>
    <row r="118" spans="1:86" ht="15.75">
      <c r="A118" s="36"/>
      <c r="B118" s="37">
        <v>40695</v>
      </c>
      <c r="C118" s="77">
        <f t="shared" si="84"/>
        <v>3.2799</v>
      </c>
      <c r="D118" s="78">
        <f>C118*(1+Podsumowanie!E$11)</f>
        <v>3.3782970000000003</v>
      </c>
      <c r="E118" s="34">
        <f t="shared" si="115"/>
        <v>-618.9620602796978</v>
      </c>
      <c r="F118" s="7">
        <f aca="true" t="shared" si="136" ref="F118:F162">E118*D118</f>
        <v>-2091.0376713567225</v>
      </c>
      <c r="G118" s="7">
        <f t="shared" si="116"/>
        <v>-1365.1740546840572</v>
      </c>
      <c r="H118" s="7">
        <f aca="true" t="shared" si="137" ref="H118:H162">G118-F118</f>
        <v>725.8636166726653</v>
      </c>
      <c r="I118" s="32"/>
      <c r="J118" s="4" t="str">
        <f t="shared" si="110"/>
        <v xml:space="preserve"> </v>
      </c>
      <c r="K118" s="4">
        <f>IF(B118&lt;Podsumowanie!E$7,0,K117+1)</f>
        <v>48</v>
      </c>
      <c r="L118" s="100">
        <f t="shared" si="85"/>
        <v>0.0011</v>
      </c>
      <c r="M118" s="38">
        <f>L118+Podsumowanie!E$6</f>
        <v>0.0131</v>
      </c>
      <c r="N118" s="101">
        <f>MAX(Podsumowanie!E$4+SUM(AA$5:AA117)-SUM(X$5:X118)+SUM(W$5:W118),0)</f>
        <v>164469.2551402435</v>
      </c>
      <c r="O118" s="102">
        <f>MAX(Podsumowanie!E$2+SUM(V$5:V117)-SUM(S$5:S118)+SUM(R$5:R118),0)</f>
        <v>362751.08656774904</v>
      </c>
      <c r="P118" s="39">
        <f t="shared" si="131"/>
        <v>360</v>
      </c>
      <c r="Q118" s="40" t="str">
        <f>IF(AND(K118&gt;0,K118&lt;=Podsumowanie!E$9),"tak","nie")</f>
        <v>nie</v>
      </c>
      <c r="R118" s="41"/>
      <c r="S118" s="42"/>
      <c r="T118" s="88">
        <f t="shared" si="117"/>
        <v>-396.0032695031261</v>
      </c>
      <c r="U118" s="89">
        <f>IF(Q118="tak",T118,IF(P118-SUM(AB$5:AB118)+1&gt;0,IF(Podsumowanie!E$7&lt;B118,IF(SUM(AB$5:AB118)-Podsumowanie!E$9+1&gt;0,PMT(M118/12,P118+1-SUM(AB$5:AB118),O118),T118),0),0))</f>
        <v>-1365.1740546840572</v>
      </c>
      <c r="V118" s="89">
        <f t="shared" si="83"/>
        <v>-969.170785180931</v>
      </c>
      <c r="W118" s="90" t="str">
        <f>IF(R118&gt;0,R118/(C118*(1-Podsumowanie!E$11))," ")</f>
        <v xml:space="preserve"> </v>
      </c>
      <c r="X118" s="90" t="str">
        <f t="shared" si="111"/>
        <v xml:space="preserve"> </v>
      </c>
      <c r="Y118" s="91">
        <f t="shared" si="109"/>
        <v>-179.54560352809915</v>
      </c>
      <c r="Z118" s="90">
        <f>IF(P118-SUM(AB$5:AB118)+1&gt;0,IF(Podsumowanie!E$7&lt;B118,IF(SUM(AB$5:AB118)-Podsumowanie!E$9+1&gt;0,PMT(M118/12,P118+1-SUM(AB$5:AB118),N118),Y118),0),0)</f>
        <v>-618.9620602796978</v>
      </c>
      <c r="AA118" s="90">
        <f t="shared" si="134"/>
        <v>-439.4164567515986</v>
      </c>
      <c r="AB118" s="8">
        <f>IF(AND(Podsumowanie!E$7&lt;B118,SUM(AB$5:AB117)&lt;P117),1," ")</f>
        <v>1</v>
      </c>
      <c r="AD118" s="10">
        <f>Podsumowanie!E$4-SUM(AF$5:AF117)+SUM(W$42:W118)-SUM(X$42:X118)</f>
        <v>158119.77813555222</v>
      </c>
      <c r="AE118" s="10">
        <f t="shared" si="118"/>
        <v>172.61</v>
      </c>
      <c r="AF118" s="10">
        <f t="shared" si="119"/>
        <v>505.18</v>
      </c>
      <c r="AG118" s="10">
        <f t="shared" si="132"/>
        <v>677.79</v>
      </c>
      <c r="AH118" s="10">
        <f t="shared" si="112"/>
        <v>2289.78</v>
      </c>
      <c r="AI118" s="10">
        <f>Podsumowanie!E$2-SUM(AK$5:AK117)+SUM(R$42:R118)-SUM(S$42:S118)</f>
        <v>348746.34</v>
      </c>
      <c r="AJ118" s="10">
        <f t="shared" si="120"/>
        <v>380.71</v>
      </c>
      <c r="AK118" s="10">
        <f t="shared" si="121"/>
        <v>1114.21</v>
      </c>
      <c r="AL118" s="10">
        <f t="shared" si="122"/>
        <v>1494.92</v>
      </c>
      <c r="AM118" s="10">
        <f t="shared" si="123"/>
        <v>794.8600000000001</v>
      </c>
      <c r="AO118" s="43">
        <f t="shared" si="113"/>
        <v>40695</v>
      </c>
      <c r="AP118" s="11">
        <f>AP$5+SUM(AS$5:AS117)-SUM(X$5:X118)+SUM(W$5:W118)</f>
        <v>159535.17748603618</v>
      </c>
      <c r="AQ118" s="10">
        <f t="shared" si="124"/>
        <v>-174.15923542225616</v>
      </c>
      <c r="AR118" s="10">
        <f>IF(AB118=1,IF(Q118="tak",AQ118,PMT(M118/12,P118+1-SUM(AB$5:AB118),AP118)),0)</f>
        <v>-600.3931984713067</v>
      </c>
      <c r="AS118" s="10">
        <f t="shared" si="125"/>
        <v>-426.23396304905054</v>
      </c>
      <c r="AT118" s="10">
        <f t="shared" si="126"/>
        <v>-1969.229651666039</v>
      </c>
      <c r="AV118" s="11">
        <f>AV$5+SUM(AX$5:AX117)+SUM(W$5:W117)-SUM(X$5:X117)</f>
        <v>153376.04719148562</v>
      </c>
      <c r="AW118" s="11">
        <f t="shared" si="127"/>
        <v>-174.15923542225616</v>
      </c>
      <c r="AX118" s="11">
        <f t="shared" si="128"/>
        <v>-490.02</v>
      </c>
      <c r="AY118" s="11">
        <f t="shared" si="133"/>
        <v>-664.1792354222562</v>
      </c>
      <c r="AZ118" s="11">
        <f t="shared" si="114"/>
        <v>-2178.441474261458</v>
      </c>
      <c r="BB118" s="191">
        <f t="shared" si="86"/>
        <v>0.0461</v>
      </c>
      <c r="BC118" s="44">
        <f>BB118+Podsumowanie!$E$6</f>
        <v>0.0581</v>
      </c>
      <c r="BD118" s="11">
        <f>BD$5+SUM(BE$5:BE117)+SUM(R$5:R117)-SUM(S$5:S117)</f>
        <v>379341.9644580405</v>
      </c>
      <c r="BE118" s="10">
        <f t="shared" si="135"/>
        <v>-516.3801747242035</v>
      </c>
      <c r="BF118" s="10">
        <f t="shared" si="130"/>
        <v>-1836.647344584346</v>
      </c>
      <c r="BG118" s="10">
        <f>IF(U118&lt;0,PMT(BC118/12,Podsumowanie!E$8-SUM(AB$5:AB118)+1,BD118),0)</f>
        <v>-2353.0275193085495</v>
      </c>
      <c r="BI118" s="11">
        <f>BI$5+SUM(BK$5:BK117)+SUM(R$5:R117)-SUM(S$5:S117)</f>
        <v>348746.5181058495</v>
      </c>
      <c r="BJ118" s="11">
        <f t="shared" si="87"/>
        <v>-1688.5143918291549</v>
      </c>
      <c r="BK118" s="11">
        <f t="shared" si="88"/>
        <v>-1114.2061281337044</v>
      </c>
      <c r="BL118" s="11">
        <f t="shared" si="89"/>
        <v>-2802.7205199628593</v>
      </c>
      <c r="BN118" s="44">
        <f t="shared" si="90"/>
        <v>0.0582</v>
      </c>
      <c r="BO118" s="11">
        <f>BO$5+SUM(BP$5:BP117)+SUM(R$5:R117)-SUM(S$5:S117)+SUM(BS$5:BS117)</f>
        <v>406044.4932333595</v>
      </c>
      <c r="BP118" s="10">
        <f t="shared" si="99"/>
        <v>-551.8369683961216</v>
      </c>
      <c r="BQ118" s="10">
        <f t="shared" si="100"/>
        <v>-1969.3157921817935</v>
      </c>
      <c r="BR118" s="10">
        <f>IF(U118&lt;0,PMT(BN118/12,Podsumowanie!E$8-SUM(AB$5:AB118)+1,BO118),0)</f>
        <v>-2521.152760577915</v>
      </c>
      <c r="BS118" s="10">
        <f t="shared" si="94"/>
        <v>430.11508922119265</v>
      </c>
      <c r="BU118" s="11">
        <f>BU$5+SUM(BW$5:BW117)+SUM(R$5:R117)-SUM(S$5:S117)+SUM(BY$5,BY117)</f>
        <v>349361.9220334019</v>
      </c>
      <c r="BV118" s="10">
        <f t="shared" si="91"/>
        <v>-1694.4053218619993</v>
      </c>
      <c r="BW118" s="10">
        <f t="shared" si="92"/>
        <v>-1116.1722748670988</v>
      </c>
      <c r="BX118" s="10">
        <f t="shared" si="101"/>
        <v>-2810.5775967290983</v>
      </c>
      <c r="BY118" s="10">
        <f t="shared" si="102"/>
        <v>719.5399253723758</v>
      </c>
      <c r="CA118" s="10">
        <f>CA$5+SUM(CB$5:CB117)+SUM(R$5:R117)-SUM(S$5:S117)-SUM(CC$5:CC117)</f>
        <v>399595.5256504403</v>
      </c>
      <c r="CB118" s="10">
        <f t="shared" si="95"/>
        <v>1694.4053218619993</v>
      </c>
      <c r="CC118" s="10">
        <f t="shared" si="96"/>
        <v>2091.0376713567225</v>
      </c>
      <c r="CD118" s="10">
        <f t="shared" si="97"/>
        <v>396.63234949472326</v>
      </c>
      <c r="CF118" s="44">
        <f t="shared" si="93"/>
        <v>0.5236</v>
      </c>
      <c r="CG118" s="10">
        <f t="shared" si="98"/>
        <v>-1094.87</v>
      </c>
      <c r="CH118" s="4">
        <f t="shared" si="103"/>
        <v>0</v>
      </c>
    </row>
    <row r="119" spans="1:86" ht="15.75">
      <c r="A119" s="36"/>
      <c r="B119" s="37">
        <v>40725</v>
      </c>
      <c r="C119" s="77">
        <f t="shared" si="84"/>
        <v>3.3824</v>
      </c>
      <c r="D119" s="78">
        <f>C119*(1+Podsumowanie!E$11)</f>
        <v>3.4838720000000003</v>
      </c>
      <c r="E119" s="34">
        <f t="shared" si="115"/>
        <v>-618.9620602796977</v>
      </c>
      <c r="F119" s="7">
        <f t="shared" si="136"/>
        <v>-2156.384590870751</v>
      </c>
      <c r="G119" s="7">
        <f t="shared" si="116"/>
        <v>-1365.1740546840574</v>
      </c>
      <c r="H119" s="7">
        <f t="shared" si="137"/>
        <v>791.2105361866934</v>
      </c>
      <c r="I119" s="32"/>
      <c r="J119" s="4" t="str">
        <f t="shared" si="110"/>
        <v xml:space="preserve"> </v>
      </c>
      <c r="K119" s="4">
        <f>IF(B119&lt;Podsumowanie!E$7,0,K118+1)</f>
        <v>49</v>
      </c>
      <c r="L119" s="100">
        <f t="shared" si="85"/>
        <v>0.0011</v>
      </c>
      <c r="M119" s="38">
        <f>L119+Podsumowanie!E$6</f>
        <v>0.0131</v>
      </c>
      <c r="N119" s="101">
        <f>MAX(Podsumowanie!E$4+SUM(AA$5:AA118)-SUM(X$5:X119)+SUM(W$5:W119),0)</f>
        <v>164029.8386834919</v>
      </c>
      <c r="O119" s="102">
        <f>MAX(Podsumowanie!E$2+SUM(V$5:V118)-SUM(S$5:S119)+SUM(R$5:R119),0)</f>
        <v>361781.91578256816</v>
      </c>
      <c r="P119" s="39">
        <f t="shared" si="131"/>
        <v>360</v>
      </c>
      <c r="Q119" s="40" t="str">
        <f>IF(AND(K119&gt;0,K119&lt;=Podsumowanie!E$9),"tak","nie")</f>
        <v>nie</v>
      </c>
      <c r="R119" s="41"/>
      <c r="S119" s="42"/>
      <c r="T119" s="88">
        <f t="shared" si="117"/>
        <v>-394.9452580626369</v>
      </c>
      <c r="U119" s="89">
        <f>IF(Q119="tak",T119,IF(P119-SUM(AB$5:AB119)+1&gt;0,IF(Podsumowanie!E$7&lt;B119,IF(SUM(AB$5:AB119)-Podsumowanie!E$9+1&gt;0,PMT(M119/12,P119+1-SUM(AB$5:AB119),O119),T119),0),0))</f>
        <v>-1365.1740546840574</v>
      </c>
      <c r="V119" s="89">
        <f t="shared" si="83"/>
        <v>-970.2287966214205</v>
      </c>
      <c r="W119" s="90" t="str">
        <f>IF(R119&gt;0,R119/(C119*(1-Podsumowanie!E$11))," ")</f>
        <v xml:space="preserve"> </v>
      </c>
      <c r="X119" s="90" t="str">
        <f t="shared" si="111"/>
        <v xml:space="preserve"> </v>
      </c>
      <c r="Y119" s="91">
        <f t="shared" si="109"/>
        <v>-179.06590722947865</v>
      </c>
      <c r="Z119" s="90">
        <f>IF(P119-SUM(AB$5:AB119)+1&gt;0,IF(Podsumowanie!E$7&lt;B119,IF(SUM(AB$5:AB119)-Podsumowanie!E$9+1&gt;0,PMT(M119/12,P119+1-SUM(AB$5:AB119),N119),Y119),0),0)</f>
        <v>-618.9620602796977</v>
      </c>
      <c r="AA119" s="90">
        <f t="shared" si="134"/>
        <v>-439.896153050219</v>
      </c>
      <c r="AB119" s="8">
        <f>IF(AND(Podsumowanie!E$7&lt;B119,SUM(AB$5:AB118)&lt;P118),1," ")</f>
        <v>1</v>
      </c>
      <c r="AD119" s="10">
        <f>Podsumowanie!E$4-SUM(AF$5:AF118)+SUM(W$42:W119)-SUM(X$42:X119)</f>
        <v>157614.5981355522</v>
      </c>
      <c r="AE119" s="10">
        <f t="shared" si="118"/>
        <v>172.06</v>
      </c>
      <c r="AF119" s="10">
        <f t="shared" si="119"/>
        <v>505.17</v>
      </c>
      <c r="AG119" s="10">
        <f t="shared" si="132"/>
        <v>677.23</v>
      </c>
      <c r="AH119" s="10">
        <f t="shared" si="112"/>
        <v>2359.38</v>
      </c>
      <c r="AI119" s="10">
        <f>Podsumowanie!E$2-SUM(AK$5:AK118)+SUM(R$42:R119)-SUM(S$42:S119)</f>
        <v>347632.13</v>
      </c>
      <c r="AJ119" s="10">
        <f t="shared" si="120"/>
        <v>379.5</v>
      </c>
      <c r="AK119" s="10">
        <f t="shared" si="121"/>
        <v>1114.21</v>
      </c>
      <c r="AL119" s="10">
        <f t="shared" si="122"/>
        <v>1493.71</v>
      </c>
      <c r="AM119" s="10">
        <f t="shared" si="123"/>
        <v>865.6700000000001</v>
      </c>
      <c r="AO119" s="43">
        <f t="shared" si="113"/>
        <v>40725</v>
      </c>
      <c r="AP119" s="11">
        <f>AP$5+SUM(AS$5:AS118)-SUM(X$5:X119)+SUM(W$5:W119)</f>
        <v>159108.94352298713</v>
      </c>
      <c r="AQ119" s="10">
        <f t="shared" si="124"/>
        <v>-173.69393001259428</v>
      </c>
      <c r="AR119" s="10">
        <f>IF(AB119=1,IF(Q119="tak",AQ119,PMT(M119/12,P119+1-SUM(AB$5:AB119),AP119)),0)</f>
        <v>-600.3931984713067</v>
      </c>
      <c r="AS119" s="10">
        <f t="shared" si="125"/>
        <v>-426.6992684587125</v>
      </c>
      <c r="AT119" s="10">
        <f t="shared" si="126"/>
        <v>-2030.7699545093478</v>
      </c>
      <c r="AV119" s="11">
        <f>AV$5+SUM(AX$5:AX118)+SUM(W$5:W118)-SUM(X$5:X118)</f>
        <v>152886.02719148563</v>
      </c>
      <c r="AW119" s="11">
        <f t="shared" si="127"/>
        <v>-173.69393001259428</v>
      </c>
      <c r="AX119" s="11">
        <f t="shared" si="128"/>
        <v>-490.02</v>
      </c>
      <c r="AY119" s="11">
        <f t="shared" si="133"/>
        <v>-663.7139300125942</v>
      </c>
      <c r="AZ119" s="11">
        <f t="shared" si="114"/>
        <v>-2244.9459968745987</v>
      </c>
      <c r="BB119" s="191">
        <f t="shared" si="86"/>
        <v>0.047</v>
      </c>
      <c r="BC119" s="44">
        <f>BB119+Podsumowanie!$E$6</f>
        <v>0.059</v>
      </c>
      <c r="BD119" s="11">
        <f>BD$5+SUM(BE$5:BE118)+SUM(R$5:R118)-SUM(S$5:S118)</f>
        <v>378825.5842833163</v>
      </c>
      <c r="BE119" s="10">
        <f t="shared" si="135"/>
        <v>-511.4107173059879</v>
      </c>
      <c r="BF119" s="10">
        <f t="shared" si="130"/>
        <v>-1862.5591227263048</v>
      </c>
      <c r="BG119" s="10">
        <f>IF(U119&lt;0,PMT(BC119/12,Podsumowanie!E$8-SUM(AB$5:AB119)+1,BD119),0)</f>
        <v>-2373.9698400322927</v>
      </c>
      <c r="BI119" s="11">
        <f>BI$5+SUM(BK$5:BK118)+SUM(R$5:R118)-SUM(S$5:S118)</f>
        <v>347632.3119777158</v>
      </c>
      <c r="BJ119" s="11">
        <f t="shared" si="87"/>
        <v>-1709.1922005571025</v>
      </c>
      <c r="BK119" s="11">
        <f t="shared" si="88"/>
        <v>-1114.2061281337046</v>
      </c>
      <c r="BL119" s="11">
        <f t="shared" si="89"/>
        <v>-2823.398328690807</v>
      </c>
      <c r="BN119" s="44">
        <f t="shared" si="90"/>
        <v>0.0591</v>
      </c>
      <c r="BO119" s="11">
        <f>BO$5+SUM(BP$5:BP118)+SUM(R$5:R118)-SUM(S$5:S118)+SUM(BS$5:BS118)</f>
        <v>405922.7713541845</v>
      </c>
      <c r="BP119" s="10">
        <f t="shared" si="99"/>
        <v>-547.1081325826328</v>
      </c>
      <c r="BQ119" s="10">
        <f t="shared" si="100"/>
        <v>-1999.1696489193585</v>
      </c>
      <c r="BR119" s="10">
        <f>IF(U119&lt;0,PMT(BN119/12,Podsumowanie!E$8-SUM(AB$5:AB119)+1,BO119),0)</f>
        <v>-2546.2777815019913</v>
      </c>
      <c r="BS119" s="10">
        <f t="shared" si="94"/>
        <v>389.8931906312405</v>
      </c>
      <c r="BU119" s="11">
        <f>BU$5+SUM(BW$5:BW118)+SUM(R$5:R118)-SUM(S$5:S118)+SUM(BY$5,BY118)</f>
        <v>348212.33605963027</v>
      </c>
      <c r="BV119" s="10">
        <f t="shared" si="91"/>
        <v>-1714.9457550936793</v>
      </c>
      <c r="BW119" s="10">
        <f t="shared" si="92"/>
        <v>-1116.0651796783022</v>
      </c>
      <c r="BX119" s="10">
        <f t="shared" si="101"/>
        <v>-2831.0109347719817</v>
      </c>
      <c r="BY119" s="10">
        <f t="shared" si="102"/>
        <v>674.6263439012309</v>
      </c>
      <c r="CA119" s="10">
        <f>CA$5+SUM(CB$5:CB118)+SUM(R$5:R118)-SUM(S$5:S118)-SUM(CC$5:CC118)</f>
        <v>399198.89330094564</v>
      </c>
      <c r="CB119" s="10">
        <f t="shared" si="95"/>
        <v>1714.9457550936793</v>
      </c>
      <c r="CC119" s="10">
        <f t="shared" si="96"/>
        <v>2156.384590870751</v>
      </c>
      <c r="CD119" s="10">
        <f t="shared" si="97"/>
        <v>441.4388357770715</v>
      </c>
      <c r="CF119" s="44">
        <f t="shared" si="93"/>
        <v>0.5282</v>
      </c>
      <c r="CG119" s="10">
        <f t="shared" si="98"/>
        <v>-1139</v>
      </c>
      <c r="CH119" s="4">
        <f t="shared" si="103"/>
        <v>0</v>
      </c>
    </row>
    <row r="120" spans="1:86" ht="15.75">
      <c r="A120" s="36"/>
      <c r="B120" s="37">
        <v>40756</v>
      </c>
      <c r="C120" s="77">
        <f t="shared" si="84"/>
        <v>3.6894</v>
      </c>
      <c r="D120" s="78">
        <f>C120*(1+Podsumowanie!E$11)</f>
        <v>3.800082</v>
      </c>
      <c r="E120" s="34">
        <f t="shared" si="115"/>
        <v>-618.9620602796977</v>
      </c>
      <c r="F120" s="7">
        <f t="shared" si="136"/>
        <v>-2352.106583951794</v>
      </c>
      <c r="G120" s="7">
        <f t="shared" si="116"/>
        <v>-1365.1740546840572</v>
      </c>
      <c r="H120" s="7">
        <f t="shared" si="137"/>
        <v>986.932529267737</v>
      </c>
      <c r="I120" s="32"/>
      <c r="J120" s="4" t="str">
        <f t="shared" si="110"/>
        <v xml:space="preserve"> </v>
      </c>
      <c r="K120" s="4">
        <f>IF(B120&lt;Podsumowanie!E$7,0,K119+1)</f>
        <v>50</v>
      </c>
      <c r="L120" s="100">
        <f t="shared" si="85"/>
        <v>0.0011</v>
      </c>
      <c r="M120" s="38">
        <f>L120+Podsumowanie!E$6</f>
        <v>0.0131</v>
      </c>
      <c r="N120" s="101">
        <f>MAX(Podsumowanie!E$4+SUM(AA$5:AA119)-SUM(X$5:X120)+SUM(W$5:W120),0)</f>
        <v>163589.94253044168</v>
      </c>
      <c r="O120" s="102">
        <f>MAX(Podsumowanie!E$2+SUM(V$5:V119)-SUM(S$5:S120)+SUM(R$5:R120),0)</f>
        <v>360811.6869859467</v>
      </c>
      <c r="P120" s="39">
        <f t="shared" si="131"/>
        <v>360</v>
      </c>
      <c r="Q120" s="40" t="str">
        <f>IF(AND(K120&gt;0,K120&lt;=Podsumowanie!E$9),"tak","nie")</f>
        <v>nie</v>
      </c>
      <c r="R120" s="41"/>
      <c r="S120" s="42"/>
      <c r="T120" s="88">
        <f t="shared" si="117"/>
        <v>-393.8860916263252</v>
      </c>
      <c r="U120" s="89">
        <f>IF(Q120="tak",T120,IF(P120-SUM(AB$5:AB120)+1&gt;0,IF(Podsumowanie!E$7&lt;B120,IF(SUM(AB$5:AB120)-Podsumowanie!E$9+1&gt;0,PMT(M120/12,P120+1-SUM(AB$5:AB120),O120),T120),0),0))</f>
        <v>-1365.1740546840572</v>
      </c>
      <c r="V120" s="89">
        <f t="shared" si="83"/>
        <v>-971.287963057732</v>
      </c>
      <c r="W120" s="90" t="str">
        <f>IF(R120&gt;0,R120/(C120*(1-Podsumowanie!E$11))," ")</f>
        <v xml:space="preserve"> </v>
      </c>
      <c r="X120" s="90" t="str">
        <f t="shared" si="111"/>
        <v xml:space="preserve"> </v>
      </c>
      <c r="Y120" s="91">
        <f t="shared" si="109"/>
        <v>-178.58568726239886</v>
      </c>
      <c r="Z120" s="90">
        <f>IF(P120-SUM(AB$5:AB120)+1&gt;0,IF(Podsumowanie!E$7&lt;B120,IF(SUM(AB$5:AB120)-Podsumowanie!E$9+1&gt;0,PMT(M120/12,P120+1-SUM(AB$5:AB120),N120),Y120),0),0)</f>
        <v>-618.9620602796977</v>
      </c>
      <c r="AA120" s="90">
        <f t="shared" si="134"/>
        <v>-440.37637301729876</v>
      </c>
      <c r="AB120" s="8">
        <f>IF(AND(Podsumowanie!E$7&lt;B120,SUM(AB$5:AB119)&lt;P119),1," ")</f>
        <v>1</v>
      </c>
      <c r="AD120" s="10">
        <f>Podsumowanie!E$4-SUM(AF$5:AF119)+SUM(W$42:W120)-SUM(X$42:X120)</f>
        <v>157109.4281355522</v>
      </c>
      <c r="AE120" s="10">
        <f t="shared" si="118"/>
        <v>171.51</v>
      </c>
      <c r="AF120" s="10">
        <f t="shared" si="119"/>
        <v>505.18</v>
      </c>
      <c r="AG120" s="10">
        <f t="shared" si="132"/>
        <v>676.69</v>
      </c>
      <c r="AH120" s="10">
        <f t="shared" si="112"/>
        <v>2571.48</v>
      </c>
      <c r="AI120" s="10">
        <f>Podsumowanie!E$2-SUM(AK$5:AK119)+SUM(R$42:R120)-SUM(S$42:S120)</f>
        <v>346517.92000000004</v>
      </c>
      <c r="AJ120" s="10">
        <f t="shared" si="120"/>
        <v>378.28</v>
      </c>
      <c r="AK120" s="10">
        <f t="shared" si="121"/>
        <v>1114.21</v>
      </c>
      <c r="AL120" s="10">
        <f t="shared" si="122"/>
        <v>1492.49</v>
      </c>
      <c r="AM120" s="10">
        <f t="shared" si="123"/>
        <v>1078.99</v>
      </c>
      <c r="AO120" s="43">
        <f t="shared" si="113"/>
        <v>40756</v>
      </c>
      <c r="AP120" s="11">
        <f>AP$5+SUM(AS$5:AS119)-SUM(X$5:X120)+SUM(W$5:W120)</f>
        <v>158682.24425452843</v>
      </c>
      <c r="AQ120" s="10">
        <f t="shared" si="124"/>
        <v>-173.22811664452686</v>
      </c>
      <c r="AR120" s="10">
        <f>IF(AB120=1,IF(Q120="tak",AQ120,PMT(M120/12,P120+1-SUM(AB$5:AB120),AP120)),0)</f>
        <v>-600.3931984713067</v>
      </c>
      <c r="AS120" s="10">
        <f t="shared" si="125"/>
        <v>-427.1650818267799</v>
      </c>
      <c r="AT120" s="10">
        <f t="shared" si="126"/>
        <v>-2215.090666440039</v>
      </c>
      <c r="AV120" s="11">
        <f>AV$5+SUM(AX$5:AX119)+SUM(W$5:W119)-SUM(X$5:X119)</f>
        <v>152396.0071914856</v>
      </c>
      <c r="AW120" s="11">
        <f t="shared" si="127"/>
        <v>-173.22811664452686</v>
      </c>
      <c r="AX120" s="11">
        <f t="shared" si="128"/>
        <v>-490.02</v>
      </c>
      <c r="AY120" s="11">
        <f t="shared" si="133"/>
        <v>-663.2481166445268</v>
      </c>
      <c r="AZ120" s="11">
        <f t="shared" si="114"/>
        <v>-2446.9876015483173</v>
      </c>
      <c r="BB120" s="191">
        <f t="shared" si="86"/>
        <v>0.0472</v>
      </c>
      <c r="BC120" s="44">
        <f>BB120+Podsumowanie!$E$6</f>
        <v>0.0592</v>
      </c>
      <c r="BD120" s="11">
        <f>BD$5+SUM(BE$5:BE119)+SUM(R$5:R119)-SUM(S$5:S119)</f>
        <v>378314.1735660103</v>
      </c>
      <c r="BE120" s="10">
        <f t="shared" si="135"/>
        <v>-512.2753254283045</v>
      </c>
      <c r="BF120" s="10">
        <f t="shared" si="130"/>
        <v>-1866.349922925651</v>
      </c>
      <c r="BG120" s="10">
        <f>IF(U120&lt;0,PMT(BC120/12,Podsumowanie!E$8-SUM(AB$5:AB120)+1,BD120),0)</f>
        <v>-2378.6252483539556</v>
      </c>
      <c r="BI120" s="11">
        <f>BI$5+SUM(BK$5:BK119)+SUM(R$5:R119)-SUM(S$5:S119)</f>
        <v>346518.1058495821</v>
      </c>
      <c r="BJ120" s="11">
        <f aca="true" t="shared" si="138" ref="BJ120:BJ183">IF(AB120=1,-BC120*BI120/12,0)</f>
        <v>-1709.4893221912719</v>
      </c>
      <c r="BK120" s="11">
        <f aca="true" t="shared" si="139" ref="BK120:BK183">IF(AB120=1,-BI120/(P120-K120+1),0)</f>
        <v>-1114.2061281337046</v>
      </c>
      <c r="BL120" s="11">
        <f aca="true" t="shared" si="140" ref="BL120:BL169">BK120+BJ120</f>
        <v>-2823.6954503249763</v>
      </c>
      <c r="BN120" s="44">
        <f t="shared" si="90"/>
        <v>0.0593</v>
      </c>
      <c r="BO120" s="11">
        <f>BO$5+SUM(BP$5:BP119)+SUM(R$5:R119)-SUM(S$5:S119)+SUM(BS$5:BS119)</f>
        <v>405765.5564122331</v>
      </c>
      <c r="BP120" s="10">
        <f t="shared" si="99"/>
        <v>-548.5642114816071</v>
      </c>
      <c r="BQ120" s="10">
        <f t="shared" si="100"/>
        <v>-2005.1581246037852</v>
      </c>
      <c r="BR120" s="10">
        <f>IF(U120&lt;0,PMT(BN120/12,Podsumowanie!E$8-SUM(AB$5:AB120)+1,BO120),0)</f>
        <v>-2553.7223360853923</v>
      </c>
      <c r="BS120" s="10">
        <f t="shared" si="94"/>
        <v>201.6157521335981</v>
      </c>
      <c r="BU120" s="11">
        <f>BU$5+SUM(BW$5:BW119)+SUM(R$5:R119)-SUM(S$5:S119)+SUM(BY$5,BY119)</f>
        <v>347051.35729848075</v>
      </c>
      <c r="BV120" s="10">
        <f t="shared" si="91"/>
        <v>-1715.0121239833259</v>
      </c>
      <c r="BW120" s="10">
        <f t="shared" si="92"/>
        <v>-1115.920763017623</v>
      </c>
      <c r="BX120" s="10">
        <f t="shared" si="101"/>
        <v>-2830.9328870009485</v>
      </c>
      <c r="BY120" s="10">
        <f t="shared" si="102"/>
        <v>478.8263030491544</v>
      </c>
      <c r="CA120" s="10">
        <f>CA$5+SUM(CB$5:CB119)+SUM(R$5:R119)-SUM(S$5:S119)-SUM(CC$5:CC119)</f>
        <v>398757.4544651685</v>
      </c>
      <c r="CB120" s="10">
        <f t="shared" si="95"/>
        <v>1715.0121239833259</v>
      </c>
      <c r="CC120" s="10">
        <f t="shared" si="96"/>
        <v>2352.106583951794</v>
      </c>
      <c r="CD120" s="10">
        <f t="shared" si="97"/>
        <v>637.0944599684683</v>
      </c>
      <c r="CF120" s="44">
        <f t="shared" si="93"/>
        <v>0.5282</v>
      </c>
      <c r="CG120" s="10">
        <f t="shared" si="98"/>
        <v>-1242.38</v>
      </c>
      <c r="CH120" s="4">
        <f t="shared" si="103"/>
        <v>0</v>
      </c>
    </row>
    <row r="121" spans="1:86" ht="15.75">
      <c r="A121" s="36"/>
      <c r="B121" s="37">
        <v>40787</v>
      </c>
      <c r="C121" s="77">
        <f t="shared" si="84"/>
        <v>3.6193</v>
      </c>
      <c r="D121" s="78">
        <f>C121*(1+Podsumowanie!E$11)</f>
        <v>3.727879</v>
      </c>
      <c r="E121" s="34">
        <f t="shared" si="115"/>
        <v>-611.4055614577309</v>
      </c>
      <c r="F121" s="7">
        <f t="shared" si="136"/>
        <v>-2279.2459530414844</v>
      </c>
      <c r="G121" s="7">
        <f t="shared" si="116"/>
        <v>-1348.5075466733106</v>
      </c>
      <c r="H121" s="7">
        <f t="shared" si="137"/>
        <v>930.7384063681739</v>
      </c>
      <c r="I121" s="32"/>
      <c r="J121" s="4" t="str">
        <f t="shared" si="110"/>
        <v xml:space="preserve"> </v>
      </c>
      <c r="K121" s="4">
        <f>IF(B121&lt;Podsumowanie!E$7,0,K120+1)</f>
        <v>51</v>
      </c>
      <c r="L121" s="100">
        <f t="shared" si="85"/>
        <v>0.0001</v>
      </c>
      <c r="M121" s="38">
        <f>L121+Podsumowanie!E$6</f>
        <v>0.0121</v>
      </c>
      <c r="N121" s="101">
        <f>MAX(Podsumowanie!E$4+SUM(AA$5:AA120)-SUM(X$5:X121)+SUM(W$5:W121),0)</f>
        <v>163149.5661574244</v>
      </c>
      <c r="O121" s="102">
        <f>MAX(Podsumowanie!E$2+SUM(V$5:V120)-SUM(S$5:S121)+SUM(R$5:R121),0)</f>
        <v>359840.399022889</v>
      </c>
      <c r="P121" s="39">
        <f t="shared" si="131"/>
        <v>360</v>
      </c>
      <c r="Q121" s="40" t="str">
        <f>IF(AND(K121&gt;0,K121&lt;=Podsumowanie!E$9),"tak","nie")</f>
        <v>nie</v>
      </c>
      <c r="R121" s="41"/>
      <c r="S121" s="42"/>
      <c r="T121" s="88">
        <f t="shared" si="117"/>
        <v>-362.83906901474637</v>
      </c>
      <c r="U121" s="89">
        <f>IF(Q121="tak",T121,IF(P121-SUM(AB$5:AB121)+1&gt;0,IF(Podsumowanie!E$7&lt;B121,IF(SUM(AB$5:AB121)-Podsumowanie!E$9+1&gt;0,PMT(M121/12,P121+1-SUM(AB$5:AB121),O121),T121),0),0))</f>
        <v>-1348.5075466733106</v>
      </c>
      <c r="V121" s="89">
        <f aca="true" t="shared" si="141" ref="V121:V164">U121-T121</f>
        <v>-985.6684776585641</v>
      </c>
      <c r="W121" s="90" t="str">
        <f>IF(R121&gt;0,R121/(C121*(1-Podsumowanie!E$11))," ")</f>
        <v xml:space="preserve"> </v>
      </c>
      <c r="X121" s="90" t="str">
        <f t="shared" si="111"/>
        <v xml:space="preserve"> </v>
      </c>
      <c r="Y121" s="91">
        <f t="shared" si="109"/>
        <v>-164.50914587540294</v>
      </c>
      <c r="Z121" s="90">
        <f>IF(P121-SUM(AB$5:AB121)+1&gt;0,IF(Podsumowanie!E$7&lt;B121,IF(SUM(AB$5:AB121)-Podsumowanie!E$9+1&gt;0,PMT(M121/12,P121+1-SUM(AB$5:AB121),N121),Y121),0),0)</f>
        <v>-611.4055614577309</v>
      </c>
      <c r="AA121" s="90">
        <f t="shared" si="134"/>
        <v>-446.8964155823279</v>
      </c>
      <c r="AB121" s="8">
        <f>IF(AND(Podsumowanie!E$7&lt;B121,SUM(AB$5:AB120)&lt;P120),1," ")</f>
        <v>1</v>
      </c>
      <c r="AD121" s="10">
        <f>Podsumowanie!E$4-SUM(AF$5:AF120)+SUM(W$42:W121)-SUM(X$42:X121)</f>
        <v>156604.24813555222</v>
      </c>
      <c r="AE121" s="10">
        <f t="shared" si="118"/>
        <v>157.91</v>
      </c>
      <c r="AF121" s="10">
        <f t="shared" si="119"/>
        <v>505.17</v>
      </c>
      <c r="AG121" s="10">
        <f t="shared" si="132"/>
        <v>663.08</v>
      </c>
      <c r="AH121" s="10">
        <f t="shared" si="112"/>
        <v>2471.88</v>
      </c>
      <c r="AI121" s="10">
        <f>Podsumowanie!E$2-SUM(AK$5:AK120)+SUM(R$42:R121)-SUM(S$42:S121)</f>
        <v>345403.71</v>
      </c>
      <c r="AJ121" s="10">
        <f t="shared" si="120"/>
        <v>348.28</v>
      </c>
      <c r="AK121" s="10">
        <f t="shared" si="121"/>
        <v>1114.21</v>
      </c>
      <c r="AL121" s="10">
        <f t="shared" si="122"/>
        <v>1462.49</v>
      </c>
      <c r="AM121" s="10">
        <f t="shared" si="123"/>
        <v>1009.3900000000001</v>
      </c>
      <c r="AO121" s="43">
        <f t="shared" si="113"/>
        <v>40787</v>
      </c>
      <c r="AP121" s="11">
        <f>AP$5+SUM(AS$5:AS120)-SUM(X$5:X121)+SUM(W$5:W121)</f>
        <v>158255.07917270163</v>
      </c>
      <c r="AQ121" s="10">
        <f t="shared" si="124"/>
        <v>-159.5738714991408</v>
      </c>
      <c r="AR121" s="10">
        <f>IF(AB121=1,IF(Q121="tak",AQ121,PMT(M121/12,P121+1-SUM(AB$5:AB121),AP121)),0)</f>
        <v>-593.0633946139989</v>
      </c>
      <c r="AS121" s="10">
        <f t="shared" si="125"/>
        <v>-433.48952311485806</v>
      </c>
      <c r="AT121" s="10">
        <f t="shared" si="126"/>
        <v>-2146.474344126446</v>
      </c>
      <c r="AV121" s="11">
        <f>AV$5+SUM(AX$5:AX120)+SUM(W$5:W120)-SUM(X$5:X120)</f>
        <v>151905.98719148562</v>
      </c>
      <c r="AW121" s="11">
        <f t="shared" si="127"/>
        <v>-159.5738714991408</v>
      </c>
      <c r="AX121" s="11">
        <f t="shared" si="128"/>
        <v>-490.02</v>
      </c>
      <c r="AY121" s="11">
        <f t="shared" si="133"/>
        <v>-649.5938714991407</v>
      </c>
      <c r="AZ121" s="11">
        <f t="shared" si="114"/>
        <v>-2351.07509911684</v>
      </c>
      <c r="BB121" s="191">
        <f t="shared" si="86"/>
        <v>0.0475</v>
      </c>
      <c r="BC121" s="44">
        <f>BB121+Podsumowanie!$E$6</f>
        <v>0.0595</v>
      </c>
      <c r="BD121" s="11">
        <f>BD$5+SUM(BE$5:BE120)+SUM(R$5:R120)-SUM(S$5:S120)</f>
        <v>377801.89824058197</v>
      </c>
      <c r="BE121" s="10">
        <f t="shared" si="135"/>
        <v>-512.3331132710357</v>
      </c>
      <c r="BF121" s="10">
        <f t="shared" si="130"/>
        <v>-1873.2677454428856</v>
      </c>
      <c r="BG121" s="10">
        <f>IF(U121&lt;0,PMT(BC121/12,Podsumowanie!E$8-SUM(AB$5:AB121)+1,BD121),0)</f>
        <v>-2385.6008587139213</v>
      </c>
      <c r="BI121" s="11">
        <f>BI$5+SUM(BK$5:BK120)+SUM(R$5:R120)-SUM(S$5:S120)</f>
        <v>345403.8997214484</v>
      </c>
      <c r="BJ121" s="11">
        <f t="shared" si="138"/>
        <v>-1712.6276694521819</v>
      </c>
      <c r="BK121" s="11">
        <f t="shared" si="139"/>
        <v>-1114.2061281337046</v>
      </c>
      <c r="BL121" s="11">
        <f t="shared" si="140"/>
        <v>-2826.8337975858867</v>
      </c>
      <c r="BN121" s="44">
        <f t="shared" si="90"/>
        <v>0.0596</v>
      </c>
      <c r="BO121" s="11">
        <f>BO$5+SUM(BP$5:BP120)+SUM(R$5:R120)-SUM(S$5:S120)+SUM(BS$5:BS120)</f>
        <v>405418.6079528851</v>
      </c>
      <c r="BP121" s="10">
        <f t="shared" si="99"/>
        <v>-548.9028211644497</v>
      </c>
      <c r="BQ121" s="10">
        <f t="shared" si="100"/>
        <v>-2013.579086165996</v>
      </c>
      <c r="BR121" s="10">
        <f>IF(U121&lt;0,PMT(BN121/12,Podsumowanie!E$8-SUM(AB$5:AB121)+1,BO121),0)</f>
        <v>-2562.4819073304457</v>
      </c>
      <c r="BS121" s="10">
        <f t="shared" si="94"/>
        <v>283.23595428896124</v>
      </c>
      <c r="BU121" s="11">
        <f>BU$5+SUM(BW$5:BW120)+SUM(R$5:R120)-SUM(S$5:S120)+SUM(BY$5,BY120)</f>
        <v>345739.6364946111</v>
      </c>
      <c r="BV121" s="10">
        <f t="shared" si="91"/>
        <v>-1717.1735279232353</v>
      </c>
      <c r="BW121" s="10">
        <f t="shared" si="92"/>
        <v>-1115.2891499826164</v>
      </c>
      <c r="BX121" s="10">
        <f t="shared" si="101"/>
        <v>-2832.4626779058517</v>
      </c>
      <c r="BY121" s="10">
        <f t="shared" si="102"/>
        <v>553.2167248643673</v>
      </c>
      <c r="CA121" s="10">
        <f>CA$5+SUM(CB$5:CB120)+SUM(R$5:R120)-SUM(S$5:S120)-SUM(CC$5:CC120)</f>
        <v>398120.3600052001</v>
      </c>
      <c r="CB121" s="10">
        <f t="shared" si="95"/>
        <v>1717.1735279232353</v>
      </c>
      <c r="CC121" s="10">
        <f t="shared" si="96"/>
        <v>2279.2459530414844</v>
      </c>
      <c r="CD121" s="10">
        <f t="shared" si="97"/>
        <v>562.0724251182492</v>
      </c>
      <c r="CF121" s="44">
        <f t="shared" si="93"/>
        <v>0.5266</v>
      </c>
      <c r="CG121" s="10">
        <f t="shared" si="98"/>
        <v>-1200.25</v>
      </c>
      <c r="CH121" s="4">
        <f t="shared" si="103"/>
        <v>0</v>
      </c>
    </row>
    <row r="122" spans="1:86" ht="15.75">
      <c r="A122" s="36"/>
      <c r="B122" s="37">
        <v>40817</v>
      </c>
      <c r="C122" s="77">
        <f t="shared" si="84"/>
        <v>3.5441</v>
      </c>
      <c r="D122" s="78">
        <f>C122*(1+Podsumowanie!E$11)</f>
        <v>3.650423</v>
      </c>
      <c r="E122" s="34">
        <f t="shared" si="115"/>
        <v>-611.4055614577309</v>
      </c>
      <c r="F122" s="7">
        <f t="shared" si="136"/>
        <v>-2231.8889238732145</v>
      </c>
      <c r="G122" s="7">
        <f t="shared" si="116"/>
        <v>-1348.5075466733108</v>
      </c>
      <c r="H122" s="7">
        <f t="shared" si="137"/>
        <v>883.3813771999037</v>
      </c>
      <c r="I122" s="32"/>
      <c r="J122" s="4" t="str">
        <f t="shared" si="110"/>
        <v xml:space="preserve"> </v>
      </c>
      <c r="K122" s="4">
        <f>IF(B122&lt;Podsumowanie!E$7,0,K121+1)</f>
        <v>52</v>
      </c>
      <c r="L122" s="100">
        <f t="shared" si="85"/>
        <v>0.0001</v>
      </c>
      <c r="M122" s="38">
        <f>L122+Podsumowanie!E$6</f>
        <v>0.0121</v>
      </c>
      <c r="N122" s="101">
        <f>MAX(Podsumowanie!E$4+SUM(AA$5:AA121)-SUM(X$5:X122)+SUM(W$5:W122),0)</f>
        <v>162702.66974184205</v>
      </c>
      <c r="O122" s="102">
        <f>MAX(Podsumowanie!E$2+SUM(V$5:V121)-SUM(S$5:S122)+SUM(R$5:R122),0)</f>
        <v>358854.73054523044</v>
      </c>
      <c r="P122" s="39">
        <f t="shared" si="131"/>
        <v>360</v>
      </c>
      <c r="Q122" s="40" t="str">
        <f>IF(AND(K122&gt;0,K122&lt;=Podsumowanie!E$9),"tak","nie")</f>
        <v>nie</v>
      </c>
      <c r="R122" s="41"/>
      <c r="S122" s="42"/>
      <c r="T122" s="88">
        <f t="shared" si="117"/>
        <v>-361.8451866331074</v>
      </c>
      <c r="U122" s="89">
        <f>IF(Q122="tak",T122,IF(P122-SUM(AB$5:AB122)+1&gt;0,IF(Podsumowanie!E$7&lt;B122,IF(SUM(AB$5:AB122)-Podsumowanie!E$9+1&gt;0,PMT(M122/12,P122+1-SUM(AB$5:AB122),O122),T122),0),0))</f>
        <v>-1348.5075466733108</v>
      </c>
      <c r="V122" s="89">
        <f t="shared" si="141"/>
        <v>-986.6623600402033</v>
      </c>
      <c r="W122" s="90" t="str">
        <f>IF(R122&gt;0,R122/(C122*(1-Podsumowanie!E$11))," ")</f>
        <v xml:space="preserve"> </v>
      </c>
      <c r="X122" s="90" t="str">
        <f t="shared" si="111"/>
        <v xml:space="preserve"> </v>
      </c>
      <c r="Y122" s="91">
        <f t="shared" si="109"/>
        <v>-164.05852532302407</v>
      </c>
      <c r="Z122" s="90">
        <f>IF(P122-SUM(AB$5:AB122)+1&gt;0,IF(Podsumowanie!E$7&lt;B122,IF(SUM(AB$5:AB122)-Podsumowanie!E$9+1&gt;0,PMT(M122/12,P122+1-SUM(AB$5:AB122),N122),Y122),0),0)</f>
        <v>-611.4055614577309</v>
      </c>
      <c r="AA122" s="90">
        <f t="shared" si="134"/>
        <v>-447.3470361347068</v>
      </c>
      <c r="AB122" s="8">
        <f>IF(AND(Podsumowanie!E$7&lt;B122,SUM(AB$5:AB121)&lt;P121),1," ")</f>
        <v>1</v>
      </c>
      <c r="AD122" s="10">
        <f>Podsumowanie!E$4-SUM(AF$5:AF121)+SUM(W$42:W122)-SUM(X$42:X122)</f>
        <v>156099.0781355522</v>
      </c>
      <c r="AE122" s="10">
        <f t="shared" si="118"/>
        <v>157.4</v>
      </c>
      <c r="AF122" s="10">
        <f t="shared" si="119"/>
        <v>505.18</v>
      </c>
      <c r="AG122" s="10">
        <f t="shared" si="132"/>
        <v>662.58</v>
      </c>
      <c r="AH122" s="10">
        <f t="shared" si="112"/>
        <v>2418.7</v>
      </c>
      <c r="AI122" s="10">
        <f>Podsumowanie!E$2-SUM(AK$5:AK121)+SUM(R$42:R122)-SUM(S$42:S122)</f>
        <v>344289.50000000006</v>
      </c>
      <c r="AJ122" s="10">
        <f t="shared" si="120"/>
        <v>347.16</v>
      </c>
      <c r="AK122" s="10">
        <f t="shared" si="121"/>
        <v>1114.21</v>
      </c>
      <c r="AL122" s="10">
        <f t="shared" si="122"/>
        <v>1461.3700000000001</v>
      </c>
      <c r="AM122" s="10">
        <f t="shared" si="123"/>
        <v>957.3299999999997</v>
      </c>
      <c r="AO122" s="43">
        <f t="shared" si="113"/>
        <v>40817</v>
      </c>
      <c r="AP122" s="11">
        <f>AP$5+SUM(AS$5:AS121)-SUM(X$5:X122)+SUM(W$5:W122)</f>
        <v>157821.5896495868</v>
      </c>
      <c r="AQ122" s="10">
        <f t="shared" si="124"/>
        <v>-159.13676956333333</v>
      </c>
      <c r="AR122" s="10">
        <f>IF(AB122=1,IF(Q122="tak",AQ122,PMT(M122/12,P122+1-SUM(AB$5:AB122),AP122)),0)</f>
        <v>-593.063394613999</v>
      </c>
      <c r="AS122" s="10">
        <f t="shared" si="125"/>
        <v>-433.9266250506656</v>
      </c>
      <c r="AT122" s="10">
        <f t="shared" si="126"/>
        <v>-2101.8759768514738</v>
      </c>
      <c r="AV122" s="11">
        <f>AV$5+SUM(AX$5:AX121)+SUM(W$5:W121)-SUM(X$5:X121)</f>
        <v>151415.9671914856</v>
      </c>
      <c r="AW122" s="11">
        <f t="shared" si="127"/>
        <v>-159.13676956333333</v>
      </c>
      <c r="AX122" s="11">
        <f t="shared" si="128"/>
        <v>-490.02</v>
      </c>
      <c r="AY122" s="11">
        <f t="shared" si="133"/>
        <v>-649.1567695633333</v>
      </c>
      <c r="AZ122" s="11">
        <f t="shared" si="114"/>
        <v>-2300.6765070094098</v>
      </c>
      <c r="BB122" s="191">
        <f t="shared" si="86"/>
        <v>0.048</v>
      </c>
      <c r="BC122" s="44">
        <f>BB122+Podsumowanie!$E$6</f>
        <v>0.06</v>
      </c>
      <c r="BD122" s="11">
        <f>BD$5+SUM(BE$5:BE121)+SUM(R$5:R121)-SUM(S$5:S121)</f>
        <v>377289.5651273109</v>
      </c>
      <c r="BE122" s="10">
        <f t="shared" si="135"/>
        <v>-510.7744429542149</v>
      </c>
      <c r="BF122" s="10">
        <f t="shared" si="130"/>
        <v>-1886.4478256365546</v>
      </c>
      <c r="BG122" s="10">
        <f>IF(U122&lt;0,PMT(BC122/12,Podsumowanie!E$8-SUM(AB$5:AB122)+1,BD122),0)</f>
        <v>-2397.2222685907695</v>
      </c>
      <c r="BI122" s="11">
        <f>BI$5+SUM(BK$5:BK121)+SUM(R$5:R121)-SUM(S$5:S121)</f>
        <v>344289.69359331473</v>
      </c>
      <c r="BJ122" s="11">
        <f t="shared" si="138"/>
        <v>-1721.4484679665736</v>
      </c>
      <c r="BK122" s="11">
        <f t="shared" si="139"/>
        <v>-1114.2061281337046</v>
      </c>
      <c r="BL122" s="11">
        <f t="shared" si="140"/>
        <v>-2835.6545961002785</v>
      </c>
      <c r="BN122" s="44">
        <f t="shared" si="90"/>
        <v>0.0601</v>
      </c>
      <c r="BO122" s="11">
        <f>BO$5+SUM(BP$5:BP121)+SUM(R$5:R121)-SUM(S$5:S121)+SUM(BS$5:BS121)</f>
        <v>405152.9410860096</v>
      </c>
      <c r="BP122" s="10">
        <f t="shared" si="99"/>
        <v>-547.6189573133818</v>
      </c>
      <c r="BQ122" s="10">
        <f t="shared" si="100"/>
        <v>-2029.1409799390983</v>
      </c>
      <c r="BR122" s="10">
        <f>IF(U122&lt;0,PMT(BN122/12,Podsumowanie!E$8-SUM(AB$5:AB122)+1,BO122),0)</f>
        <v>-2576.75993725248</v>
      </c>
      <c r="BS122" s="10">
        <f t="shared" si="94"/>
        <v>344.8710133792656</v>
      </c>
      <c r="BU122" s="11">
        <f>BU$5+SUM(BW$5:BW121)+SUM(R$5:R121)-SUM(S$5:S121)+SUM(BY$5,BY121)</f>
        <v>344698.7377664437</v>
      </c>
      <c r="BV122" s="10">
        <f t="shared" si="91"/>
        <v>-1726.3661783136056</v>
      </c>
      <c r="BW122" s="10">
        <f t="shared" si="92"/>
        <v>-1115.5298956842837</v>
      </c>
      <c r="BX122" s="10">
        <f t="shared" si="101"/>
        <v>-2841.8960739978893</v>
      </c>
      <c r="BY122" s="10">
        <f t="shared" si="102"/>
        <v>610.0071501246748</v>
      </c>
      <c r="CA122" s="10">
        <f>CA$5+SUM(CB$5:CB121)+SUM(R$5:R121)-SUM(S$5:S121)-SUM(CC$5:CC121)</f>
        <v>397558.28758008184</v>
      </c>
      <c r="CB122" s="10">
        <f t="shared" si="95"/>
        <v>1726.3661783136056</v>
      </c>
      <c r="CC122" s="10">
        <f t="shared" si="96"/>
        <v>2231.8889238732145</v>
      </c>
      <c r="CD122" s="10">
        <f t="shared" si="97"/>
        <v>505.5227455596089</v>
      </c>
      <c r="CF122" s="44">
        <f t="shared" si="93"/>
        <v>0.516</v>
      </c>
      <c r="CG122" s="10">
        <f t="shared" si="98"/>
        <v>-1151.65</v>
      </c>
      <c r="CH122" s="4">
        <f t="shared" si="103"/>
        <v>0</v>
      </c>
    </row>
    <row r="123" spans="1:86" ht="15.75">
      <c r="A123" s="36"/>
      <c r="B123" s="37">
        <v>40848</v>
      </c>
      <c r="C123" s="77">
        <f t="shared" si="84"/>
        <v>3.5934</v>
      </c>
      <c r="D123" s="78">
        <f>C123*(1+Podsumowanie!E$11)</f>
        <v>3.701202</v>
      </c>
      <c r="E123" s="34">
        <f t="shared" si="115"/>
        <v>-611.4055614577308</v>
      </c>
      <c r="F123" s="7">
        <f t="shared" si="136"/>
        <v>-2262.935486878476</v>
      </c>
      <c r="G123" s="7">
        <f t="shared" si="116"/>
        <v>-1348.5075466733103</v>
      </c>
      <c r="H123" s="7">
        <f t="shared" si="137"/>
        <v>914.4279402051654</v>
      </c>
      <c r="I123" s="32"/>
      <c r="J123" s="4" t="str">
        <f t="shared" si="110"/>
        <v xml:space="preserve"> </v>
      </c>
      <c r="K123" s="4">
        <f>IF(B123&lt;Podsumowanie!E$7,0,K122+1)</f>
        <v>53</v>
      </c>
      <c r="L123" s="100">
        <f t="shared" si="85"/>
        <v>0.0001</v>
      </c>
      <c r="M123" s="38">
        <f>L123+Podsumowanie!E$6</f>
        <v>0.0121</v>
      </c>
      <c r="N123" s="101">
        <f>MAX(Podsumowanie!E$4+SUM(AA$5:AA122)-SUM(X$5:X123)+SUM(W$5:W123),0)</f>
        <v>162255.32270570734</v>
      </c>
      <c r="O123" s="102">
        <f>MAX(Podsumowanie!E$2+SUM(V$5:V122)-SUM(S$5:S123)+SUM(R$5:R123),0)</f>
        <v>357868.0681851902</v>
      </c>
      <c r="P123" s="39">
        <f t="shared" si="131"/>
        <v>360</v>
      </c>
      <c r="Q123" s="40" t="str">
        <f>IF(AND(K123&gt;0,K123&lt;=Podsumowanie!E$9),"tak","nie")</f>
        <v>nie</v>
      </c>
      <c r="R123" s="41"/>
      <c r="S123" s="42"/>
      <c r="T123" s="88">
        <f t="shared" si="117"/>
        <v>-360.8503020867334</v>
      </c>
      <c r="U123" s="89">
        <f>IF(Q123="tak",T123,IF(P123-SUM(AB$5:AB123)+1&gt;0,IF(Podsumowanie!E$7&lt;B123,IF(SUM(AB$5:AB123)-Podsumowanie!E$9+1&gt;0,PMT(M123/12,P123+1-SUM(AB$5:AB123),O123),T123),0),0))</f>
        <v>-1348.5075466733103</v>
      </c>
      <c r="V123" s="89">
        <f t="shared" si="141"/>
        <v>-987.657244586577</v>
      </c>
      <c r="W123" s="90" t="str">
        <f>IF(R123&gt;0,R123/(C123*(1-Podsumowanie!E$11))," ")</f>
        <v xml:space="preserve"> </v>
      </c>
      <c r="X123" s="90" t="str">
        <f t="shared" si="111"/>
        <v xml:space="preserve"> </v>
      </c>
      <c r="Y123" s="91">
        <f t="shared" si="109"/>
        <v>-163.60745039492156</v>
      </c>
      <c r="Z123" s="90">
        <f>IF(P123-SUM(AB$5:AB123)+1&gt;0,IF(Podsumowanie!E$7&lt;B123,IF(SUM(AB$5:AB123)-Podsumowanie!E$9+1&gt;0,PMT(M123/12,P123+1-SUM(AB$5:AB123),N123),Y123),0),0)</f>
        <v>-611.4055614577308</v>
      </c>
      <c r="AA123" s="90">
        <f t="shared" si="134"/>
        <v>-447.7981110628092</v>
      </c>
      <c r="AB123" s="8">
        <f>IF(AND(Podsumowanie!E$7&lt;B123,SUM(AB$5:AB122)&lt;P122),1," ")</f>
        <v>1</v>
      </c>
      <c r="AD123" s="10">
        <f>Podsumowanie!E$4-SUM(AF$5:AF122)+SUM(W$42:W123)-SUM(X$42:X123)</f>
        <v>155593.8981355522</v>
      </c>
      <c r="AE123" s="10">
        <f t="shared" si="118"/>
        <v>156.89</v>
      </c>
      <c r="AF123" s="10">
        <f t="shared" si="119"/>
        <v>505.17</v>
      </c>
      <c r="AG123" s="10">
        <f t="shared" si="132"/>
        <v>662.06</v>
      </c>
      <c r="AH123" s="10">
        <f t="shared" si="112"/>
        <v>2450.42</v>
      </c>
      <c r="AI123" s="10">
        <f>Podsumowanie!E$2-SUM(AK$5:AK122)+SUM(R$42:R123)-SUM(S$42:S123)</f>
        <v>343175.29000000004</v>
      </c>
      <c r="AJ123" s="10">
        <f t="shared" si="120"/>
        <v>346.04</v>
      </c>
      <c r="AK123" s="10">
        <f t="shared" si="121"/>
        <v>1114.21</v>
      </c>
      <c r="AL123" s="10">
        <f t="shared" si="122"/>
        <v>1460.25</v>
      </c>
      <c r="AM123" s="10">
        <f t="shared" si="123"/>
        <v>990.1700000000001</v>
      </c>
      <c r="AO123" s="43">
        <f t="shared" si="113"/>
        <v>40848</v>
      </c>
      <c r="AP123" s="11">
        <f>AP$5+SUM(AS$5:AS122)-SUM(X$5:X123)+SUM(W$5:W123)</f>
        <v>157387.66302453613</v>
      </c>
      <c r="AQ123" s="10">
        <f t="shared" si="124"/>
        <v>-158.69922688307392</v>
      </c>
      <c r="AR123" s="10">
        <f>IF(AB123=1,IF(Q123="tak",AQ123,PMT(M123/12,P123+1-SUM(AB$5:AB123),AP123)),0)</f>
        <v>-593.0633946139989</v>
      </c>
      <c r="AS123" s="10">
        <f t="shared" si="125"/>
        <v>-434.3641677309249</v>
      </c>
      <c r="AT123" s="10">
        <f t="shared" si="126"/>
        <v>-2131.1140022059435</v>
      </c>
      <c r="AV123" s="11">
        <f>AV$5+SUM(AX$5:AX122)+SUM(W$5:W122)-SUM(X$5:X122)</f>
        <v>150925.9471914856</v>
      </c>
      <c r="AW123" s="11">
        <f t="shared" si="127"/>
        <v>-158.69922688307392</v>
      </c>
      <c r="AX123" s="11">
        <f t="shared" si="128"/>
        <v>-490.02</v>
      </c>
      <c r="AY123" s="11">
        <f t="shared" si="133"/>
        <v>-648.7192268830739</v>
      </c>
      <c r="AZ123" s="11">
        <f t="shared" si="114"/>
        <v>-2331.107669881638</v>
      </c>
      <c r="BB123" s="191">
        <f t="shared" si="86"/>
        <v>0.0494</v>
      </c>
      <c r="BC123" s="44">
        <f>BB123+Podsumowanie!$E$6</f>
        <v>0.061399999999999996</v>
      </c>
      <c r="BD123" s="11">
        <f>BD$5+SUM(BE$5:BE122)+SUM(R$5:R122)-SUM(S$5:S122)</f>
        <v>376778.7906843567</v>
      </c>
      <c r="BE123" s="10">
        <f t="shared" si="135"/>
        <v>-501.97874327639624</v>
      </c>
      <c r="BF123" s="10">
        <f t="shared" si="130"/>
        <v>-1927.851479001625</v>
      </c>
      <c r="BG123" s="10">
        <f>IF(U123&lt;0,PMT(BC123/12,Podsumowanie!E$8-SUM(AB$5:AB123)+1,BD123),0)</f>
        <v>-2429.830222278021</v>
      </c>
      <c r="BI123" s="11">
        <f>BI$5+SUM(BK$5:BK122)+SUM(R$5:R122)-SUM(S$5:S122)</f>
        <v>343175.48746518104</v>
      </c>
      <c r="BJ123" s="11">
        <f t="shared" si="138"/>
        <v>-1755.914577530176</v>
      </c>
      <c r="BK123" s="11">
        <f t="shared" si="139"/>
        <v>-1114.2061281337046</v>
      </c>
      <c r="BL123" s="11">
        <f t="shared" si="140"/>
        <v>-2870.1207056638805</v>
      </c>
      <c r="BN123" s="44">
        <f t="shared" si="90"/>
        <v>0.0615</v>
      </c>
      <c r="BO123" s="11">
        <f>BO$5+SUM(BP$5:BP122)+SUM(R$5:R122)-SUM(S$5:S122)+SUM(BS$5:BS122)</f>
        <v>404950.19314207556</v>
      </c>
      <c r="BP123" s="10">
        <f t="shared" si="99"/>
        <v>-538.6484148478207</v>
      </c>
      <c r="BQ123" s="10">
        <f t="shared" si="100"/>
        <v>-2075.369739853137</v>
      </c>
      <c r="BR123" s="10">
        <f>IF(U123&lt;0,PMT(BN123/12,Podsumowanie!E$8-SUM(AB$5:AB123)+1,BO123),0)</f>
        <v>-2614.018154700958</v>
      </c>
      <c r="BS123" s="10">
        <f t="shared" si="94"/>
        <v>351.0826678224821</v>
      </c>
      <c r="BU123" s="11">
        <f>BU$5+SUM(BW$5:BW122)+SUM(R$5:R122)-SUM(S$5:S122)+SUM(BY$5,BY122)</f>
        <v>343639.99829601974</v>
      </c>
      <c r="BV123" s="10">
        <f t="shared" si="91"/>
        <v>-1761.154991267101</v>
      </c>
      <c r="BW123" s="10">
        <f t="shared" si="92"/>
        <v>-1115.7142801818823</v>
      </c>
      <c r="BX123" s="10">
        <f t="shared" si="101"/>
        <v>-2876.8692714489835</v>
      </c>
      <c r="BY123" s="10">
        <f t="shared" si="102"/>
        <v>613.9337845705077</v>
      </c>
      <c r="CA123" s="10">
        <f>CA$5+SUM(CB$5:CB122)+SUM(R$5:R122)-SUM(S$5:S122)-SUM(CC$5:CC122)</f>
        <v>397052.7648345222</v>
      </c>
      <c r="CB123" s="10">
        <f t="shared" si="95"/>
        <v>1761.154991267101</v>
      </c>
      <c r="CC123" s="10">
        <f t="shared" si="96"/>
        <v>2262.935486878476</v>
      </c>
      <c r="CD123" s="10">
        <f t="shared" si="97"/>
        <v>501.7804956113748</v>
      </c>
      <c r="CF123" s="44">
        <f t="shared" si="93"/>
        <v>0.5055</v>
      </c>
      <c r="CG123" s="10">
        <f t="shared" si="98"/>
        <v>-1143.91</v>
      </c>
      <c r="CH123" s="4">
        <f t="shared" si="103"/>
        <v>0</v>
      </c>
    </row>
    <row r="124" spans="1:86" ht="15.75">
      <c r="A124" s="36"/>
      <c r="B124" s="37">
        <v>40878</v>
      </c>
      <c r="C124" s="77">
        <f t="shared" si="84"/>
        <v>3.6468</v>
      </c>
      <c r="D124" s="78">
        <f>C124*(1+Podsumowanie!E$11)</f>
        <v>3.756204</v>
      </c>
      <c r="E124" s="34">
        <f t="shared" si="115"/>
        <v>-611.4055614577309</v>
      </c>
      <c r="F124" s="7">
        <f t="shared" si="136"/>
        <v>-2296.5640155697743</v>
      </c>
      <c r="G124" s="7">
        <f t="shared" si="116"/>
        <v>-1348.5075466733106</v>
      </c>
      <c r="H124" s="7">
        <f t="shared" si="137"/>
        <v>948.0564688964637</v>
      </c>
      <c r="I124" s="32"/>
      <c r="J124" s="4" t="str">
        <f t="shared" si="110"/>
        <v xml:space="preserve"> </v>
      </c>
      <c r="K124" s="4">
        <f>IF(B124&lt;Podsumowanie!E$7,0,K123+1)</f>
        <v>54</v>
      </c>
      <c r="L124" s="100">
        <f t="shared" si="85"/>
        <v>0.0001</v>
      </c>
      <c r="M124" s="38">
        <f>L124+Podsumowanie!E$6</f>
        <v>0.0121</v>
      </c>
      <c r="N124" s="101">
        <f>MAX(Podsumowanie!E$4+SUM(AA$5:AA123)-SUM(X$5:X124)+SUM(W$5:W124),0)</f>
        <v>161807.52459464455</v>
      </c>
      <c r="O124" s="102">
        <f>MAX(Podsumowanie!E$2+SUM(V$5:V123)-SUM(S$5:S124)+SUM(R$5:R124),0)</f>
        <v>356880.41094060364</v>
      </c>
      <c r="P124" s="39">
        <f t="shared" si="131"/>
        <v>360</v>
      </c>
      <c r="Q124" s="40" t="str">
        <f>IF(AND(K124&gt;0,K124&lt;=Podsumowanie!E$9),"tak","nie")</f>
        <v>nie</v>
      </c>
      <c r="R124" s="41"/>
      <c r="S124" s="42"/>
      <c r="T124" s="88">
        <f t="shared" si="117"/>
        <v>-359.85441436510865</v>
      </c>
      <c r="U124" s="89">
        <f>IF(Q124="tak",T124,IF(P124-SUM(AB$5:AB124)+1&gt;0,IF(Podsumowanie!E$7&lt;B124,IF(SUM(AB$5:AB124)-Podsumowanie!E$9+1&gt;0,PMT(M124/12,P124+1-SUM(AB$5:AB124),O124),T124),0),0))</f>
        <v>-1348.5075466733106</v>
      </c>
      <c r="V124" s="89">
        <f t="shared" si="141"/>
        <v>-988.653132308202</v>
      </c>
      <c r="W124" s="90" t="str">
        <f>IF(R124&gt;0,R124/(C124*(1-Podsumowanie!E$11))," ")</f>
        <v xml:space="preserve"> </v>
      </c>
      <c r="X124" s="90" t="str">
        <f t="shared" si="111"/>
        <v xml:space="preserve"> </v>
      </c>
      <c r="Y124" s="91">
        <f t="shared" si="109"/>
        <v>-163.15592063293323</v>
      </c>
      <c r="Z124" s="90">
        <f>IF(P124-SUM(AB$5:AB124)+1&gt;0,IF(Podsumowanie!E$7&lt;B124,IF(SUM(AB$5:AB124)-Podsumowanie!E$9+1&gt;0,PMT(M124/12,P124+1-SUM(AB$5:AB124),N124),Y124),0),0)</f>
        <v>-611.4055614577309</v>
      </c>
      <c r="AA124" s="90">
        <f t="shared" si="134"/>
        <v>-448.24964082479767</v>
      </c>
      <c r="AB124" s="8">
        <f>IF(AND(Podsumowanie!E$7&lt;B124,SUM(AB$5:AB123)&lt;P123),1," ")</f>
        <v>1</v>
      </c>
      <c r="AD124" s="10">
        <f>Podsumowanie!E$4-SUM(AF$5:AF123)+SUM(W$42:W124)-SUM(X$42:X124)</f>
        <v>155088.7281355522</v>
      </c>
      <c r="AE124" s="10">
        <f t="shared" si="118"/>
        <v>156.38</v>
      </c>
      <c r="AF124" s="10">
        <f t="shared" si="119"/>
        <v>505.18</v>
      </c>
      <c r="AG124" s="10">
        <f t="shared" si="132"/>
        <v>661.56</v>
      </c>
      <c r="AH124" s="10">
        <f t="shared" si="112"/>
        <v>2484.95</v>
      </c>
      <c r="AI124" s="10">
        <f>Podsumowanie!E$2-SUM(AK$5:AK123)+SUM(R$42:R124)-SUM(S$42:S124)</f>
        <v>342061.08</v>
      </c>
      <c r="AJ124" s="10">
        <f t="shared" si="120"/>
        <v>344.91</v>
      </c>
      <c r="AK124" s="10">
        <f t="shared" si="121"/>
        <v>1114.21</v>
      </c>
      <c r="AL124" s="10">
        <f t="shared" si="122"/>
        <v>1459.1200000000001</v>
      </c>
      <c r="AM124" s="10">
        <f t="shared" si="123"/>
        <v>1025.8299999999997</v>
      </c>
      <c r="AO124" s="43">
        <f t="shared" si="113"/>
        <v>40878</v>
      </c>
      <c r="AP124" s="11">
        <f>AP$5+SUM(AS$5:AS123)-SUM(X$5:X124)+SUM(W$5:W124)</f>
        <v>156953.2988568052</v>
      </c>
      <c r="AQ124" s="10">
        <f t="shared" si="124"/>
        <v>-158.26124301394523</v>
      </c>
      <c r="AR124" s="10">
        <f>IF(AB124=1,IF(Q124="tak",AQ124,PMT(M124/12,P124+1-SUM(AB$5:AB124),AP124)),0)</f>
        <v>-593.0633946139989</v>
      </c>
      <c r="AS124" s="10">
        <f t="shared" si="125"/>
        <v>-434.80215160005366</v>
      </c>
      <c r="AT124" s="10">
        <f t="shared" si="126"/>
        <v>-2162.783587478331</v>
      </c>
      <c r="AV124" s="11">
        <f>AV$5+SUM(AX$5:AX123)+SUM(W$5:W123)-SUM(X$5:X123)</f>
        <v>150435.92719148562</v>
      </c>
      <c r="AW124" s="11">
        <f t="shared" si="127"/>
        <v>-158.26124301394523</v>
      </c>
      <c r="AX124" s="11">
        <f t="shared" si="128"/>
        <v>-490.02</v>
      </c>
      <c r="AY124" s="11">
        <f t="shared" si="133"/>
        <v>-648.2812430139452</v>
      </c>
      <c r="AZ124" s="11">
        <f t="shared" si="114"/>
        <v>-2364.152037023255</v>
      </c>
      <c r="BB124" s="191">
        <f t="shared" si="86"/>
        <v>0.0498</v>
      </c>
      <c r="BC124" s="44">
        <f>BB124+Podsumowanie!$E$6</f>
        <v>0.061799999999999994</v>
      </c>
      <c r="BD124" s="11">
        <f>BD$5+SUM(BE$5:BE123)+SUM(R$5:R123)-SUM(S$5:S123)</f>
        <v>376276.8119410803</v>
      </c>
      <c r="BE124" s="10">
        <f t="shared" si="135"/>
        <v>-501.3382753576959</v>
      </c>
      <c r="BF124" s="10">
        <f t="shared" si="130"/>
        <v>-1937.8255814965635</v>
      </c>
      <c r="BG124" s="10">
        <f>IF(U124&lt;0,PMT(BC124/12,Podsumowanie!E$8-SUM(AB$5:AB124)+1,BD124),0)</f>
        <v>-2439.1638568542594</v>
      </c>
      <c r="BI124" s="11">
        <f>BI$5+SUM(BK$5:BK123)+SUM(R$5:R123)-SUM(S$5:S123)</f>
        <v>342061.2813370473</v>
      </c>
      <c r="BJ124" s="11">
        <f t="shared" si="138"/>
        <v>-1761.6155988857934</v>
      </c>
      <c r="BK124" s="11">
        <f t="shared" si="139"/>
        <v>-1114.2061281337046</v>
      </c>
      <c r="BL124" s="11">
        <f t="shared" si="140"/>
        <v>-2875.821727019498</v>
      </c>
      <c r="BN124" s="44">
        <f t="shared" si="90"/>
        <v>0.0619</v>
      </c>
      <c r="BO124" s="11">
        <f>BO$5+SUM(BP$5:BP123)+SUM(R$5:R123)-SUM(S$5:S123)+SUM(BS$5:BS123)</f>
        <v>404762.62739505013</v>
      </c>
      <c r="BP124" s="10">
        <f t="shared" si="99"/>
        <v>-538.43163674679</v>
      </c>
      <c r="BQ124" s="10">
        <f t="shared" si="100"/>
        <v>-2087.9005529794667</v>
      </c>
      <c r="BR124" s="10">
        <f>IF(U124&lt;0,PMT(BN124/12,Podsumowanie!E$8-SUM(AB$5:AB124)+1,BO124),0)</f>
        <v>-2626.3321897262567</v>
      </c>
      <c r="BS124" s="10">
        <f t="shared" si="94"/>
        <v>329.7681741564825</v>
      </c>
      <c r="BU124" s="11">
        <f>BU$5+SUM(BW$5:BW123)+SUM(R$5:R123)-SUM(S$5:S123)+SUM(BY$5,BY123)</f>
        <v>342528.2106502836</v>
      </c>
      <c r="BV124" s="10">
        <f t="shared" si="91"/>
        <v>-1766.8746866043796</v>
      </c>
      <c r="BW124" s="10">
        <f t="shared" si="92"/>
        <v>-1115.7270705220965</v>
      </c>
      <c r="BX124" s="10">
        <f t="shared" si="101"/>
        <v>-2882.601757126476</v>
      </c>
      <c r="BY124" s="10">
        <f t="shared" si="102"/>
        <v>586.0377415567018</v>
      </c>
      <c r="CA124" s="10">
        <f>CA$5+SUM(CB$5:CB123)+SUM(R$5:R123)-SUM(S$5:S123)-SUM(CC$5:CC123)</f>
        <v>396550.98433891084</v>
      </c>
      <c r="CB124" s="10">
        <f t="shared" si="95"/>
        <v>1766.8746866043796</v>
      </c>
      <c r="CC124" s="10">
        <f t="shared" si="96"/>
        <v>2296.5640155697743</v>
      </c>
      <c r="CD124" s="10">
        <f t="shared" si="97"/>
        <v>529.6893289653947</v>
      </c>
      <c r="CF124" s="44">
        <f t="shared" si="93"/>
        <v>0.4995</v>
      </c>
      <c r="CG124" s="10">
        <f t="shared" si="98"/>
        <v>-1147.13</v>
      </c>
      <c r="CH124" s="4">
        <f t="shared" si="103"/>
        <v>0</v>
      </c>
    </row>
    <row r="125" spans="1:86" ht="15.75">
      <c r="A125" s="36">
        <v>2012</v>
      </c>
      <c r="B125" s="37">
        <v>40909</v>
      </c>
      <c r="C125" s="77">
        <f t="shared" si="84"/>
        <v>3.6135</v>
      </c>
      <c r="D125" s="78">
        <f>C125*(1+Podsumowanie!E$11)</f>
        <v>3.7219050000000005</v>
      </c>
      <c r="E125" s="34">
        <f t="shared" si="115"/>
        <v>-611.4055614577309</v>
      </c>
      <c r="F125" s="7">
        <f t="shared" si="136"/>
        <v>-2275.593416217336</v>
      </c>
      <c r="G125" s="7">
        <f t="shared" si="116"/>
        <v>-1348.5075466733106</v>
      </c>
      <c r="H125" s="7">
        <f t="shared" si="137"/>
        <v>927.0858695440256</v>
      </c>
      <c r="I125" s="32"/>
      <c r="J125" s="4" t="str">
        <f t="shared" si="110"/>
        <v xml:space="preserve"> </v>
      </c>
      <c r="K125" s="4">
        <f>IF(B125&lt;Podsumowanie!E$7,0,K124+1)</f>
        <v>55</v>
      </c>
      <c r="L125" s="100">
        <f t="shared" si="85"/>
        <v>0.0001</v>
      </c>
      <c r="M125" s="38">
        <f>L125+Podsumowanie!E$6</f>
        <v>0.0121</v>
      </c>
      <c r="N125" s="101">
        <f>MAX(Podsumowanie!E$4+SUM(AA$5:AA124)-SUM(X$5:X125)+SUM(W$5:W125),0)</f>
        <v>161359.27495381975</v>
      </c>
      <c r="O125" s="102">
        <f>MAX(Podsumowanie!E$2+SUM(V$5:V124)-SUM(S$5:S125)+SUM(R$5:R125),0)</f>
        <v>355891.7578082954</v>
      </c>
      <c r="P125" s="39">
        <f t="shared" si="131"/>
        <v>360</v>
      </c>
      <c r="Q125" s="40" t="str">
        <f>IF(AND(K125&gt;0,K125&lt;=Podsumowanie!E$9),"tak","nie")</f>
        <v>nie</v>
      </c>
      <c r="R125" s="41"/>
      <c r="S125" s="42"/>
      <c r="T125" s="88">
        <f t="shared" si="117"/>
        <v>-358.85752245669784</v>
      </c>
      <c r="U125" s="89">
        <f>IF(Q125="tak",T125,IF(P125-SUM(AB$5:AB125)+1&gt;0,IF(Podsumowanie!E$7&lt;B125,IF(SUM(AB$5:AB125)-Podsumowanie!E$9+1&gt;0,PMT(M125/12,P125+1-SUM(AB$5:AB125),O125),T125),0),0))</f>
        <v>-1348.5075466733106</v>
      </c>
      <c r="V125" s="89">
        <f t="shared" si="141"/>
        <v>-989.6500242166128</v>
      </c>
      <c r="W125" s="90" t="str">
        <f>IF(R125&gt;0,R125/(C125*(1-Podsumowanie!E$11))," ")</f>
        <v xml:space="preserve"> </v>
      </c>
      <c r="X125" s="90" t="str">
        <f t="shared" si="111"/>
        <v xml:space="preserve"> </v>
      </c>
      <c r="Y125" s="91">
        <f t="shared" si="109"/>
        <v>-162.7039355784349</v>
      </c>
      <c r="Z125" s="90">
        <f>IF(P125-SUM(AB$5:AB125)+1&gt;0,IF(Podsumowanie!E$7&lt;B125,IF(SUM(AB$5:AB125)-Podsumowanie!E$9+1&gt;0,PMT(M125/12,P125+1-SUM(AB$5:AB125),N125),Y125),0),0)</f>
        <v>-611.4055614577309</v>
      </c>
      <c r="AA125" s="90">
        <f t="shared" si="134"/>
        <v>-448.701625879296</v>
      </c>
      <c r="AB125" s="8">
        <f>IF(AND(Podsumowanie!E$7&lt;B125,SUM(AB$5:AB124)&lt;P124),1," ")</f>
        <v>1</v>
      </c>
      <c r="AD125" s="10">
        <f>Podsumowanie!E$4-SUM(AF$5:AF124)+SUM(W$42:W125)-SUM(X$42:X125)</f>
        <v>154583.5481355522</v>
      </c>
      <c r="AE125" s="10">
        <f t="shared" si="118"/>
        <v>155.87</v>
      </c>
      <c r="AF125" s="10">
        <f t="shared" si="119"/>
        <v>505.17</v>
      </c>
      <c r="AG125" s="10">
        <f t="shared" si="132"/>
        <v>661.04</v>
      </c>
      <c r="AH125" s="10">
        <f t="shared" si="112"/>
        <v>2460.33</v>
      </c>
      <c r="AI125" s="10">
        <f>Podsumowanie!E$2-SUM(AK$5:AK124)+SUM(R$42:R125)-SUM(S$42:S125)</f>
        <v>340946.87000000005</v>
      </c>
      <c r="AJ125" s="10">
        <f t="shared" si="120"/>
        <v>343.79</v>
      </c>
      <c r="AK125" s="10">
        <f t="shared" si="121"/>
        <v>1114.21</v>
      </c>
      <c r="AL125" s="10">
        <f t="shared" si="122"/>
        <v>1458</v>
      </c>
      <c r="AM125" s="10">
        <f t="shared" si="123"/>
        <v>1002.3299999999999</v>
      </c>
      <c r="AO125" s="43">
        <f t="shared" si="113"/>
        <v>40909</v>
      </c>
      <c r="AP125" s="11">
        <f>AP$5+SUM(AS$5:AS124)-SUM(X$5:X125)+SUM(W$5:W125)</f>
        <v>156518.49670520515</v>
      </c>
      <c r="AQ125" s="10">
        <f t="shared" si="124"/>
        <v>-157.82281751108187</v>
      </c>
      <c r="AR125" s="10">
        <f>IF(AB125=1,IF(Q125="tak",AQ125,PMT(M125/12,P125+1-SUM(AB$5:AB125),AP125)),0)</f>
        <v>-593.0633946139989</v>
      </c>
      <c r="AS125" s="10">
        <f t="shared" si="125"/>
        <v>-435.240577102917</v>
      </c>
      <c r="AT125" s="10">
        <f t="shared" si="126"/>
        <v>-2143.034576437685</v>
      </c>
      <c r="AV125" s="11">
        <f>AV$5+SUM(AX$5:AX124)+SUM(W$5:W124)-SUM(X$5:X124)</f>
        <v>149945.9071914856</v>
      </c>
      <c r="AW125" s="11">
        <f t="shared" si="127"/>
        <v>-157.82281751108187</v>
      </c>
      <c r="AX125" s="11">
        <f t="shared" si="128"/>
        <v>-490.02</v>
      </c>
      <c r="AY125" s="11">
        <f t="shared" si="133"/>
        <v>-647.8428175110819</v>
      </c>
      <c r="AZ125" s="11">
        <f t="shared" si="114"/>
        <v>-2340.9800210762946</v>
      </c>
      <c r="BB125" s="191">
        <f t="shared" si="86"/>
        <v>0.0499</v>
      </c>
      <c r="BC125" s="44">
        <f>BB125+Podsumowanie!$E$6</f>
        <v>0.0619</v>
      </c>
      <c r="BD125" s="11">
        <f>BD$5+SUM(BE$5:BE124)+SUM(R$5:R124)-SUM(S$5:S124)</f>
        <v>375775.47366572265</v>
      </c>
      <c r="BE125" s="10">
        <f t="shared" si="135"/>
        <v>-503.1195261806515</v>
      </c>
      <c r="BF125" s="10">
        <f t="shared" si="130"/>
        <v>-1938.3751516590191</v>
      </c>
      <c r="BG125" s="10">
        <f>IF(U125&lt;0,PMT(BC125/12,Podsumowanie!E$8-SUM(AB$5:AB125)+1,BD125),0)</f>
        <v>-2441.4946778396707</v>
      </c>
      <c r="BI125" s="11">
        <f>BI$5+SUM(BK$5:BK124)+SUM(R$5:R124)-SUM(S$5:S124)</f>
        <v>340947.0752089136</v>
      </c>
      <c r="BJ125" s="11">
        <f t="shared" si="138"/>
        <v>-1758.718662952646</v>
      </c>
      <c r="BK125" s="11">
        <f t="shared" si="139"/>
        <v>-1114.2061281337046</v>
      </c>
      <c r="BL125" s="11">
        <f t="shared" si="140"/>
        <v>-2872.9247910863505</v>
      </c>
      <c r="BN125" s="44">
        <f t="shared" si="90"/>
        <v>0.062</v>
      </c>
      <c r="BO125" s="11">
        <f>BO$5+SUM(BP$5:BP124)+SUM(R$5:R124)-SUM(S$5:S124)+SUM(BS$5:BS124)</f>
        <v>404553.9639324598</v>
      </c>
      <c r="BP125" s="10">
        <f t="shared" si="99"/>
        <v>-540.789727699711</v>
      </c>
      <c r="BQ125" s="10">
        <f t="shared" si="100"/>
        <v>-2090.195480317709</v>
      </c>
      <c r="BR125" s="10">
        <f>IF(U125&lt;0,PMT(BN125/12,Podsumowanie!E$8-SUM(AB$5:AB125)+1,BO125),0)</f>
        <v>-2630.98520801742</v>
      </c>
      <c r="BS125" s="10">
        <f t="shared" si="94"/>
        <v>355.39179180008387</v>
      </c>
      <c r="BU125" s="11">
        <f>BU$5+SUM(BW$5:BW124)+SUM(R$5:R124)-SUM(S$5:S124)+SUM(BY$5,BY124)</f>
        <v>341384.58753674774</v>
      </c>
      <c r="BV125" s="10">
        <f t="shared" si="91"/>
        <v>-1763.8203689398633</v>
      </c>
      <c r="BW125" s="10">
        <f t="shared" si="92"/>
        <v>-1115.6359069828356</v>
      </c>
      <c r="BX125" s="10">
        <f t="shared" si="101"/>
        <v>-2879.456275922699</v>
      </c>
      <c r="BY125" s="10">
        <f t="shared" si="102"/>
        <v>603.862859705363</v>
      </c>
      <c r="CA125" s="10">
        <f>CA$5+SUM(CB$5:CB124)+SUM(R$5:R124)-SUM(S$5:S124)-SUM(CC$5:CC124)</f>
        <v>396021.29500994546</v>
      </c>
      <c r="CB125" s="10">
        <f t="shared" si="95"/>
        <v>1763.8203689398633</v>
      </c>
      <c r="CC125" s="10">
        <f t="shared" si="96"/>
        <v>2275.593416217336</v>
      </c>
      <c r="CD125" s="10">
        <f t="shared" si="97"/>
        <v>511.77304727747287</v>
      </c>
      <c r="CF125" s="44">
        <f t="shared" si="93"/>
        <v>0.4891</v>
      </c>
      <c r="CG125" s="10">
        <f t="shared" si="98"/>
        <v>-1112.99</v>
      </c>
      <c r="CH125" s="4">
        <f t="shared" si="103"/>
        <v>0</v>
      </c>
    </row>
    <row r="126" spans="1:86" ht="15.75">
      <c r="A126" s="36"/>
      <c r="B126" s="37">
        <v>40940</v>
      </c>
      <c r="C126" s="77">
        <f t="shared" si="84"/>
        <v>3.466</v>
      </c>
      <c r="D126" s="78">
        <f>C126*(1+Podsumowanie!E$11)</f>
        <v>3.56998</v>
      </c>
      <c r="E126" s="34">
        <f t="shared" si="115"/>
        <v>-611.4055614577308</v>
      </c>
      <c r="F126" s="7">
        <f t="shared" si="136"/>
        <v>-2182.7056262928695</v>
      </c>
      <c r="G126" s="7">
        <f t="shared" si="116"/>
        <v>-1348.5075466733106</v>
      </c>
      <c r="H126" s="7">
        <f t="shared" si="137"/>
        <v>834.1980796195589</v>
      </c>
      <c r="I126" s="32"/>
      <c r="J126" s="4" t="str">
        <f t="shared" si="110"/>
        <v xml:space="preserve"> </v>
      </c>
      <c r="K126" s="4">
        <f>IF(B126&lt;Podsumowanie!E$7,0,K125+1)</f>
        <v>56</v>
      </c>
      <c r="L126" s="100">
        <f t="shared" si="85"/>
        <v>0.0001</v>
      </c>
      <c r="M126" s="38">
        <f>L126+Podsumowanie!E$6</f>
        <v>0.0121</v>
      </c>
      <c r="N126" s="101">
        <f>MAX(Podsumowanie!E$4+SUM(AA$5:AA125)-SUM(X$5:X126)+SUM(W$5:W126),0)</f>
        <v>160910.57332794045</v>
      </c>
      <c r="O126" s="102">
        <f>MAX(Podsumowanie!E$2+SUM(V$5:V125)-SUM(S$5:S126)+SUM(R$5:R126),0)</f>
        <v>354902.1077840788</v>
      </c>
      <c r="P126" s="39">
        <f t="shared" si="131"/>
        <v>360</v>
      </c>
      <c r="Q126" s="40" t="str">
        <f>IF(AND(K126&gt;0,K126&lt;=Podsumowanie!E$9),"tak","nie")</f>
        <v>nie</v>
      </c>
      <c r="R126" s="41"/>
      <c r="S126" s="42"/>
      <c r="T126" s="88">
        <f t="shared" si="117"/>
        <v>-357.8596253489461</v>
      </c>
      <c r="U126" s="89">
        <f>IF(Q126="tak",T126,IF(P126-SUM(AB$5:AB126)+1&gt;0,IF(Podsumowanie!E$7&lt;B126,IF(SUM(AB$5:AB126)-Podsumowanie!E$9+1&gt;0,PMT(M126/12,P126+1-SUM(AB$5:AB126),O126),T126),0),0))</f>
        <v>-1348.5075466733106</v>
      </c>
      <c r="V126" s="89">
        <f t="shared" si="141"/>
        <v>-990.6479213243645</v>
      </c>
      <c r="W126" s="90" t="str">
        <f>IF(R126&gt;0,R126/(C126*(1-Podsumowanie!E$11))," ")</f>
        <v xml:space="preserve"> </v>
      </c>
      <c r="X126" s="90" t="str">
        <f t="shared" si="111"/>
        <v xml:space="preserve"> </v>
      </c>
      <c r="Y126" s="91">
        <f t="shared" si="109"/>
        <v>-162.25149477233995</v>
      </c>
      <c r="Z126" s="90">
        <f>IF(P126-SUM(AB$5:AB126)+1&gt;0,IF(Podsumowanie!E$7&lt;B126,IF(SUM(AB$5:AB126)-Podsumowanie!E$9+1&gt;0,PMT(M126/12,P126+1-SUM(AB$5:AB126),N126),Y126),0),0)</f>
        <v>-611.4055614577308</v>
      </c>
      <c r="AA126" s="90">
        <f t="shared" si="134"/>
        <v>-449.15406668539083</v>
      </c>
      <c r="AB126" s="8">
        <f>IF(AND(Podsumowanie!E$7&lt;B126,SUM(AB$5:AB125)&lt;P125),1," ")</f>
        <v>1</v>
      </c>
      <c r="AD126" s="10">
        <f>Podsumowanie!E$4-SUM(AF$5:AF125)+SUM(W$42:W126)-SUM(X$42:X126)</f>
        <v>154078.37813555222</v>
      </c>
      <c r="AE126" s="10">
        <f t="shared" si="118"/>
        <v>155.36</v>
      </c>
      <c r="AF126" s="10">
        <f t="shared" si="119"/>
        <v>505.18</v>
      </c>
      <c r="AG126" s="10">
        <f t="shared" si="132"/>
        <v>660.54</v>
      </c>
      <c r="AH126" s="10">
        <f t="shared" si="112"/>
        <v>2358.11</v>
      </c>
      <c r="AI126" s="10">
        <f>Podsumowanie!E$2-SUM(AK$5:AK125)+SUM(R$42:R126)-SUM(S$42:S126)</f>
        <v>339832.66000000003</v>
      </c>
      <c r="AJ126" s="10">
        <f t="shared" si="120"/>
        <v>342.66</v>
      </c>
      <c r="AK126" s="10">
        <f t="shared" si="121"/>
        <v>1114.21</v>
      </c>
      <c r="AL126" s="10">
        <f t="shared" si="122"/>
        <v>1456.8700000000001</v>
      </c>
      <c r="AM126" s="10">
        <f t="shared" si="123"/>
        <v>901.24</v>
      </c>
      <c r="AO126" s="43">
        <f t="shared" si="113"/>
        <v>40940</v>
      </c>
      <c r="AP126" s="11">
        <f>AP$5+SUM(AS$5:AS125)-SUM(X$5:X126)+SUM(W$5:W126)</f>
        <v>156083.25612810222</v>
      </c>
      <c r="AQ126" s="10">
        <f t="shared" si="124"/>
        <v>-157.38394992916975</v>
      </c>
      <c r="AR126" s="10">
        <f>IF(AB126=1,IF(Q126="tak",AQ126,PMT(M126/12,P126+1-SUM(AB$5:AB126),AP126)),0)</f>
        <v>-593.0633946139989</v>
      </c>
      <c r="AS126" s="10">
        <f t="shared" si="125"/>
        <v>-435.67944468482915</v>
      </c>
      <c r="AT126" s="10">
        <f t="shared" si="126"/>
        <v>-2055.55772573212</v>
      </c>
      <c r="AV126" s="11">
        <f>AV$5+SUM(AX$5:AX125)+SUM(W$5:W125)-SUM(X$5:X125)</f>
        <v>149455.8871914856</v>
      </c>
      <c r="AW126" s="11">
        <f t="shared" si="127"/>
        <v>-157.38394992916975</v>
      </c>
      <c r="AX126" s="11">
        <f t="shared" si="128"/>
        <v>-490.02</v>
      </c>
      <c r="AY126" s="11">
        <f t="shared" si="133"/>
        <v>-647.4039499291697</v>
      </c>
      <c r="AZ126" s="11">
        <f t="shared" si="114"/>
        <v>-2243.9020904545023</v>
      </c>
      <c r="BB126" s="191">
        <f t="shared" si="86"/>
        <v>0.0497</v>
      </c>
      <c r="BC126" s="44">
        <f>BB126+Podsumowanie!$E$6</f>
        <v>0.061700000000000005</v>
      </c>
      <c r="BD126" s="11">
        <f>BD$5+SUM(BE$5:BE125)+SUM(R$5:R125)-SUM(S$5:S125)</f>
        <v>375272.354139542</v>
      </c>
      <c r="BE126" s="10">
        <f t="shared" si="135"/>
        <v>-507.3191254940491</v>
      </c>
      <c r="BF126" s="10">
        <f t="shared" si="130"/>
        <v>-1929.525354200812</v>
      </c>
      <c r="BG126" s="10">
        <f>IF(U126&lt;0,PMT(BC126/12,Podsumowanie!E$8-SUM(AB$5:AB126)+1,BD126),0)</f>
        <v>-2436.844479694861</v>
      </c>
      <c r="BI126" s="11">
        <f>BI$5+SUM(BK$5:BK125)+SUM(R$5:R125)-SUM(S$5:S125)</f>
        <v>339832.8690807799</v>
      </c>
      <c r="BJ126" s="11">
        <f t="shared" si="138"/>
        <v>-1747.3073351903433</v>
      </c>
      <c r="BK126" s="11">
        <f t="shared" si="139"/>
        <v>-1114.2061281337046</v>
      </c>
      <c r="BL126" s="11">
        <f t="shared" si="140"/>
        <v>-2861.5134633240477</v>
      </c>
      <c r="BN126" s="44">
        <f t="shared" si="90"/>
        <v>0.0618</v>
      </c>
      <c r="BO126" s="11">
        <f>BO$5+SUM(BP$5:BP125)+SUM(R$5:R125)-SUM(S$5:S125)+SUM(BS$5:BS125)</f>
        <v>404368.5659965602</v>
      </c>
      <c r="BP126" s="10">
        <f t="shared" si="99"/>
        <v>-545.7884734093159</v>
      </c>
      <c r="BQ126" s="10">
        <f t="shared" si="100"/>
        <v>-2082.498114882285</v>
      </c>
      <c r="BR126" s="10">
        <f>IF(U126&lt;0,PMT(BN126/12,Podsumowanie!E$8-SUM(AB$5:AB126)+1,BO126),0)</f>
        <v>-2628.2865882916008</v>
      </c>
      <c r="BS126" s="10">
        <f t="shared" si="94"/>
        <v>445.58096199873125</v>
      </c>
      <c r="BU126" s="11">
        <f>BU$5+SUM(BW$5:BW125)+SUM(R$5:R125)-SUM(S$5:S125)+SUM(BY$5,BY125)</f>
        <v>340286.77674791357</v>
      </c>
      <c r="BV126" s="10">
        <f t="shared" si="91"/>
        <v>-1752.4769002517548</v>
      </c>
      <c r="BW126" s="10">
        <f t="shared" si="92"/>
        <v>-1115.6943499931592</v>
      </c>
      <c r="BX126" s="10">
        <f t="shared" si="101"/>
        <v>-2868.171250244914</v>
      </c>
      <c r="BY126" s="10">
        <f t="shared" si="102"/>
        <v>685.4656239520446</v>
      </c>
      <c r="CA126" s="10">
        <f>CA$5+SUM(CB$5:CB125)+SUM(R$5:R125)-SUM(S$5:S125)-SUM(CC$5:CC125)</f>
        <v>395509.521962668</v>
      </c>
      <c r="CB126" s="10">
        <f t="shared" si="95"/>
        <v>1752.4769002517548</v>
      </c>
      <c r="CC126" s="10">
        <f t="shared" si="96"/>
        <v>2182.7056262928695</v>
      </c>
      <c r="CD126" s="10">
        <f t="shared" si="97"/>
        <v>430.22872604111467</v>
      </c>
      <c r="CF126" s="44">
        <f t="shared" si="93"/>
        <v>0.4831</v>
      </c>
      <c r="CG126" s="10">
        <f t="shared" si="98"/>
        <v>-1054.47</v>
      </c>
      <c r="CH126" s="4">
        <f t="shared" si="103"/>
        <v>0</v>
      </c>
    </row>
    <row r="127" spans="1:86" ht="15.75">
      <c r="A127" s="36"/>
      <c r="B127" s="37">
        <v>40969</v>
      </c>
      <c r="C127" s="77">
        <f t="shared" si="84"/>
        <v>3.43</v>
      </c>
      <c r="D127" s="78">
        <f>C127*(1+Podsumowanie!E$11)</f>
        <v>3.5329</v>
      </c>
      <c r="E127" s="34">
        <f t="shared" si="115"/>
        <v>-611.4055614577309</v>
      </c>
      <c r="F127" s="7">
        <f t="shared" si="136"/>
        <v>-2160.0347080740175</v>
      </c>
      <c r="G127" s="7">
        <f t="shared" si="116"/>
        <v>-1348.5075466733106</v>
      </c>
      <c r="H127" s="7">
        <f t="shared" si="137"/>
        <v>811.527161400707</v>
      </c>
      <c r="I127" s="32"/>
      <c r="J127" s="4" t="str">
        <f t="shared" si="110"/>
        <v xml:space="preserve"> </v>
      </c>
      <c r="K127" s="4">
        <f>IF(B127&lt;Podsumowanie!E$7,0,K126+1)</f>
        <v>57</v>
      </c>
      <c r="L127" s="100">
        <f t="shared" si="85"/>
        <v>0.0001</v>
      </c>
      <c r="M127" s="38">
        <f>L127+Podsumowanie!E$6</f>
        <v>0.0121</v>
      </c>
      <c r="N127" s="101">
        <f>MAX(Podsumowanie!E$4+SUM(AA$5:AA126)-SUM(X$5:X127)+SUM(W$5:W127),0)</f>
        <v>160461.41926125507</v>
      </c>
      <c r="O127" s="102">
        <f>MAX(Podsumowanie!E$2+SUM(V$5:V126)-SUM(S$5:S127)+SUM(R$5:R127),0)</f>
        <v>353911.45986275445</v>
      </c>
      <c r="P127" s="39">
        <f t="shared" si="131"/>
        <v>360</v>
      </c>
      <c r="Q127" s="40" t="str">
        <f>IF(AND(K127&gt;0,K127&lt;=Podsumowanie!E$9),"tak","nie")</f>
        <v>nie</v>
      </c>
      <c r="R127" s="41"/>
      <c r="S127" s="42"/>
      <c r="T127" s="88">
        <f t="shared" si="117"/>
        <v>-356.8607220282774</v>
      </c>
      <c r="U127" s="89">
        <f>IF(Q127="tak",T127,IF(P127-SUM(AB$5:AB127)+1&gt;0,IF(Podsumowanie!E$7&lt;B127,IF(SUM(AB$5:AB127)-Podsumowanie!E$9+1&gt;0,PMT(M127/12,P127+1-SUM(AB$5:AB127),O127),T127),0),0))</f>
        <v>-1348.5075466733106</v>
      </c>
      <c r="V127" s="89">
        <f t="shared" si="141"/>
        <v>-991.6468246450331</v>
      </c>
      <c r="W127" s="90" t="str">
        <f>IF(R127&gt;0,R127/(C127*(1-Podsumowanie!E$11))," ")</f>
        <v xml:space="preserve"> </v>
      </c>
      <c r="X127" s="90" t="str">
        <f t="shared" si="111"/>
        <v xml:space="preserve"> </v>
      </c>
      <c r="Y127" s="91">
        <f t="shared" si="109"/>
        <v>-161.79859775509885</v>
      </c>
      <c r="Z127" s="90">
        <f>IF(P127-SUM(AB$5:AB127)+1&gt;0,IF(Podsumowanie!E$7&lt;B127,IF(SUM(AB$5:AB127)-Podsumowanie!E$9+1&gt;0,PMT(M127/12,P127+1-SUM(AB$5:AB127),N127),Y127),0),0)</f>
        <v>-611.4055614577309</v>
      </c>
      <c r="AA127" s="90">
        <f t="shared" si="134"/>
        <v>-449.606963702632</v>
      </c>
      <c r="AB127" s="8">
        <f>IF(AND(Podsumowanie!E$7&lt;B127,SUM(AB$5:AB126)&lt;P126),1," ")</f>
        <v>1</v>
      </c>
      <c r="AD127" s="10">
        <f>Podsumowanie!E$4-SUM(AF$5:AF126)+SUM(W$42:W127)-SUM(X$42:X127)</f>
        <v>153573.19813555223</v>
      </c>
      <c r="AE127" s="10">
        <f t="shared" si="118"/>
        <v>154.85</v>
      </c>
      <c r="AF127" s="10">
        <f t="shared" si="119"/>
        <v>505.17</v>
      </c>
      <c r="AG127" s="10">
        <f t="shared" si="132"/>
        <v>660.02</v>
      </c>
      <c r="AH127" s="10">
        <f t="shared" si="112"/>
        <v>2331.78</v>
      </c>
      <c r="AI127" s="10">
        <f>Podsumowanie!E$2-SUM(AK$5:AK126)+SUM(R$42:R127)-SUM(S$42:S127)</f>
        <v>338718.45000000007</v>
      </c>
      <c r="AJ127" s="10">
        <f t="shared" si="120"/>
        <v>341.54</v>
      </c>
      <c r="AK127" s="10">
        <f t="shared" si="121"/>
        <v>1114.21</v>
      </c>
      <c r="AL127" s="10">
        <f t="shared" si="122"/>
        <v>1455.75</v>
      </c>
      <c r="AM127" s="10">
        <f t="shared" si="123"/>
        <v>876.0300000000002</v>
      </c>
      <c r="AO127" s="43">
        <f t="shared" si="113"/>
        <v>40969</v>
      </c>
      <c r="AP127" s="11">
        <f>AP$5+SUM(AS$5:AS126)-SUM(X$5:X127)+SUM(W$5:W127)</f>
        <v>155647.5766834174</v>
      </c>
      <c r="AQ127" s="10">
        <f t="shared" si="124"/>
        <v>-156.94463982244588</v>
      </c>
      <c r="AR127" s="10">
        <f>IF(AB127=1,IF(Q127="tak",AQ127,PMT(M127/12,P127+1-SUM(AB$5:AB127),AP127)),0)</f>
        <v>-593.0633946139989</v>
      </c>
      <c r="AS127" s="10">
        <f t="shared" si="125"/>
        <v>-436.118754791553</v>
      </c>
      <c r="AT127" s="10">
        <f t="shared" si="126"/>
        <v>-2034.2074435260163</v>
      </c>
      <c r="AV127" s="11">
        <f>AV$5+SUM(AX$5:AX126)+SUM(W$5:W126)-SUM(X$5:X126)</f>
        <v>148965.8671914856</v>
      </c>
      <c r="AW127" s="11">
        <f t="shared" si="127"/>
        <v>-156.94463982244588</v>
      </c>
      <c r="AX127" s="11">
        <f t="shared" si="128"/>
        <v>-490.02</v>
      </c>
      <c r="AY127" s="11">
        <f t="shared" si="133"/>
        <v>-646.9646398224459</v>
      </c>
      <c r="AZ127" s="11">
        <f t="shared" si="114"/>
        <v>-2219.088714590989</v>
      </c>
      <c r="BB127" s="191">
        <f t="shared" si="86"/>
        <v>0.0495</v>
      </c>
      <c r="BC127" s="44">
        <f>BB127+Podsumowanie!$E$6</f>
        <v>0.0615</v>
      </c>
      <c r="BD127" s="11">
        <f>BD$5+SUM(BE$5:BE126)+SUM(R$5:R126)-SUM(S$5:S126)</f>
        <v>374765.0350140479</v>
      </c>
      <c r="BE127" s="10">
        <f t="shared" si="135"/>
        <v>-511.53806301334794</v>
      </c>
      <c r="BF127" s="10">
        <f t="shared" si="130"/>
        <v>-1920.6708044469958</v>
      </c>
      <c r="BG127" s="10">
        <f>IF(U127&lt;0,PMT(BC127/12,Podsumowanie!E$8-SUM(AB$5:AB127)+1,BD127),0)</f>
        <v>-2432.2088674603438</v>
      </c>
      <c r="BI127" s="11">
        <f>BI$5+SUM(BK$5:BK126)+SUM(R$5:R126)-SUM(S$5:S126)</f>
        <v>338718.66295264615</v>
      </c>
      <c r="BJ127" s="11">
        <f t="shared" si="138"/>
        <v>-1735.9331476323114</v>
      </c>
      <c r="BK127" s="11">
        <f t="shared" si="139"/>
        <v>-1114.2061281337044</v>
      </c>
      <c r="BL127" s="11">
        <f t="shared" si="140"/>
        <v>-2850.139275766016</v>
      </c>
      <c r="BN127" s="44">
        <f t="shared" si="90"/>
        <v>0.0616</v>
      </c>
      <c r="BO127" s="11">
        <f>BO$5+SUM(BP$5:BP126)+SUM(R$5:R126)-SUM(S$5:S126)+SUM(BS$5:BS126)</f>
        <v>404268.3584851496</v>
      </c>
      <c r="BP127" s="10">
        <f t="shared" si="99"/>
        <v>-550.9396376489149</v>
      </c>
      <c r="BQ127" s="10">
        <f t="shared" si="100"/>
        <v>-2075.244240223768</v>
      </c>
      <c r="BR127" s="10">
        <f>IF(U127&lt;0,PMT(BN127/12,Podsumowanie!E$8-SUM(AB$5:AB127)+1,BO127),0)</f>
        <v>-2626.183877872683</v>
      </c>
      <c r="BS127" s="10">
        <f t="shared" si="94"/>
        <v>466.1491697986653</v>
      </c>
      <c r="BU127" s="11">
        <f>BU$5+SUM(BW$5:BW126)+SUM(R$5:R126)-SUM(S$5:S126)+SUM(BY$5,BY126)</f>
        <v>339252.6851621671</v>
      </c>
      <c r="BV127" s="10">
        <f t="shared" si="91"/>
        <v>-1741.4971171657915</v>
      </c>
      <c r="BW127" s="10">
        <f t="shared" si="92"/>
        <v>-1115.9627801387076</v>
      </c>
      <c r="BX127" s="10">
        <f t="shared" si="101"/>
        <v>-2857.459897304499</v>
      </c>
      <c r="BY127" s="10">
        <f t="shared" si="102"/>
        <v>697.4251892304815</v>
      </c>
      <c r="CA127" s="10">
        <f>CA$5+SUM(CB$5:CB126)+SUM(R$5:R126)-SUM(S$5:S126)-SUM(CC$5:CC126)</f>
        <v>395079.2932366269</v>
      </c>
      <c r="CB127" s="10">
        <f t="shared" si="95"/>
        <v>1741.4971171657915</v>
      </c>
      <c r="CC127" s="10">
        <f t="shared" si="96"/>
        <v>2160.0347080740175</v>
      </c>
      <c r="CD127" s="10">
        <f t="shared" si="97"/>
        <v>418.5375909082261</v>
      </c>
      <c r="CF127" s="44">
        <f t="shared" si="93"/>
        <v>0.4757</v>
      </c>
      <c r="CG127" s="10">
        <f t="shared" si="98"/>
        <v>-1027.53</v>
      </c>
      <c r="CH127" s="4">
        <f t="shared" si="103"/>
        <v>0</v>
      </c>
    </row>
    <row r="128" spans="1:86" ht="15.75">
      <c r="A128" s="36"/>
      <c r="B128" s="37">
        <v>41000</v>
      </c>
      <c r="C128" s="77">
        <f t="shared" si="84"/>
        <v>3.4736</v>
      </c>
      <c r="D128" s="78">
        <f>C128*(1+Podsumowanie!E$11)</f>
        <v>3.577808</v>
      </c>
      <c r="E128" s="34">
        <f t="shared" si="115"/>
        <v>-618.8010718008787</v>
      </c>
      <c r="F128" s="7">
        <f t="shared" si="136"/>
        <v>-2213.9514250977586</v>
      </c>
      <c r="G128" s="7">
        <f t="shared" si="116"/>
        <v>-1364.8189807490128</v>
      </c>
      <c r="H128" s="7">
        <f t="shared" si="137"/>
        <v>849.1324443487458</v>
      </c>
      <c r="I128" s="32"/>
      <c r="J128" s="4" t="str">
        <f t="shared" si="110"/>
        <v xml:space="preserve"> </v>
      </c>
      <c r="K128" s="4">
        <f>IF(B128&lt;Podsumowanie!E$7,0,K127+1)</f>
        <v>58</v>
      </c>
      <c r="L128" s="100">
        <f t="shared" si="85"/>
        <v>0.0011</v>
      </c>
      <c r="M128" s="38">
        <f>L128+Podsumowanie!E$6</f>
        <v>0.0131</v>
      </c>
      <c r="N128" s="101">
        <f>MAX(Podsumowanie!E$4+SUM(AA$5:AA127)-SUM(X$5:X128)+SUM(W$5:W128),0)</f>
        <v>160011.81229755242</v>
      </c>
      <c r="O128" s="102">
        <f>MAX(Podsumowanie!E$2+SUM(V$5:V127)-SUM(S$5:S128)+SUM(R$5:R128),0)</f>
        <v>352919.81303810945</v>
      </c>
      <c r="P128" s="39">
        <f t="shared" si="131"/>
        <v>360</v>
      </c>
      <c r="Q128" s="40" t="str">
        <f>IF(AND(K128&gt;0,K128&lt;=Podsumowanie!E$9),"tak","nie")</f>
        <v>nie</v>
      </c>
      <c r="R128" s="41"/>
      <c r="S128" s="42"/>
      <c r="T128" s="88">
        <f t="shared" si="117"/>
        <v>-385.2707958999362</v>
      </c>
      <c r="U128" s="89">
        <f>IF(Q128="tak",T128,IF(P128-SUM(AB$5:AB128)+1&gt;0,IF(Podsumowanie!E$7&lt;B128,IF(SUM(AB$5:AB128)-Podsumowanie!E$9+1&gt;0,PMT(M128/12,P128+1-SUM(AB$5:AB128),O128),T128),0),0))</f>
        <v>-1364.8189807490128</v>
      </c>
      <c r="V128" s="89">
        <f t="shared" si="141"/>
        <v>-979.5481848490765</v>
      </c>
      <c r="W128" s="90" t="str">
        <f>IF(R128&gt;0,R128/(C128*(1-Podsumowanie!E$11))," ")</f>
        <v xml:space="preserve"> </v>
      </c>
      <c r="X128" s="90" t="str">
        <f t="shared" si="111"/>
        <v xml:space="preserve"> </v>
      </c>
      <c r="Y128" s="91">
        <f t="shared" si="109"/>
        <v>-174.6795617581614</v>
      </c>
      <c r="Z128" s="90">
        <f>IF(P128-SUM(AB$5:AB128)+1&gt;0,IF(Podsumowanie!E$7&lt;B128,IF(SUM(AB$5:AB128)-Podsumowanie!E$9+1&gt;0,PMT(M128/12,P128+1-SUM(AB$5:AB128),N128),Y128),0),0)</f>
        <v>-618.8010718008787</v>
      </c>
      <c r="AA128" s="90">
        <f t="shared" si="134"/>
        <v>-444.1215100427173</v>
      </c>
      <c r="AB128" s="8">
        <f>IF(AND(Podsumowanie!E$7&lt;B128,SUM(AB$5:AB127)&lt;P127),1," ")</f>
        <v>1</v>
      </c>
      <c r="AD128" s="10">
        <f>Podsumowanie!E$4-SUM(AF$5:AF127)+SUM(W$42:W128)-SUM(X$42:X128)</f>
        <v>153068.02813555222</v>
      </c>
      <c r="AE128" s="10">
        <f t="shared" si="118"/>
        <v>167.1</v>
      </c>
      <c r="AF128" s="10">
        <f t="shared" si="119"/>
        <v>505.18</v>
      </c>
      <c r="AG128" s="10">
        <f t="shared" si="132"/>
        <v>672.28</v>
      </c>
      <c r="AH128" s="10">
        <f t="shared" si="112"/>
        <v>2405.29</v>
      </c>
      <c r="AI128" s="10">
        <f>Podsumowanie!E$2-SUM(AK$5:AK127)+SUM(R$42:R128)-SUM(S$42:S128)</f>
        <v>337604.24000000005</v>
      </c>
      <c r="AJ128" s="10">
        <f t="shared" si="120"/>
        <v>368.55</v>
      </c>
      <c r="AK128" s="10">
        <f t="shared" si="121"/>
        <v>1114.21</v>
      </c>
      <c r="AL128" s="10">
        <f t="shared" si="122"/>
        <v>1482.76</v>
      </c>
      <c r="AM128" s="10">
        <f t="shared" si="123"/>
        <v>922.53</v>
      </c>
      <c r="AO128" s="43">
        <f t="shared" si="113"/>
        <v>41000</v>
      </c>
      <c r="AP128" s="11">
        <f>AP$5+SUM(AS$5:AS127)-SUM(X$5:X128)+SUM(W$5:W128)</f>
        <v>155211.45792862584</v>
      </c>
      <c r="AQ128" s="10">
        <f t="shared" si="124"/>
        <v>-169.43917490541654</v>
      </c>
      <c r="AR128" s="10">
        <f>IF(AB128=1,IF(Q128="tak",AQ128,PMT(M128/12,P128+1-SUM(AB$5:AB128),AP128)),0)</f>
        <v>-600.2370396468523</v>
      </c>
      <c r="AS128" s="10">
        <f t="shared" si="125"/>
        <v>-430.7978647414358</v>
      </c>
      <c r="AT128" s="10">
        <f t="shared" si="126"/>
        <v>-2084.983380917306</v>
      </c>
      <c r="AV128" s="11">
        <f>AV$5+SUM(AX$5:AX127)+SUM(W$5:W127)-SUM(X$5:X127)</f>
        <v>148475.8471914856</v>
      </c>
      <c r="AW128" s="11">
        <f t="shared" si="127"/>
        <v>-169.43917490541654</v>
      </c>
      <c r="AX128" s="11">
        <f t="shared" si="128"/>
        <v>-490.02</v>
      </c>
      <c r="AY128" s="11">
        <f t="shared" si="133"/>
        <v>-659.4591749054165</v>
      </c>
      <c r="AZ128" s="11">
        <f t="shared" si="114"/>
        <v>-2290.6973899514546</v>
      </c>
      <c r="BB128" s="191">
        <f t="shared" si="86"/>
        <v>0.0494</v>
      </c>
      <c r="BC128" s="44">
        <f>BB128+Podsumowanie!$E$6</f>
        <v>0.061399999999999996</v>
      </c>
      <c r="BD128" s="11">
        <f>BD$5+SUM(BE$5:BE127)+SUM(R$5:R127)-SUM(S$5:S127)</f>
        <v>374253.4969510346</v>
      </c>
      <c r="BE128" s="10">
        <f t="shared" si="135"/>
        <v>-514.9674590774296</v>
      </c>
      <c r="BF128" s="10">
        <f t="shared" si="130"/>
        <v>-1914.9303927327935</v>
      </c>
      <c r="BG128" s="10">
        <f>IF(U128&lt;0,PMT(BC128/12,Podsumowanie!E$8-SUM(AB$5:AB128)+1,BD128),0)</f>
        <v>-2429.897851810223</v>
      </c>
      <c r="BI128" s="11">
        <f>BI$5+SUM(BK$5:BK127)+SUM(R$5:R127)-SUM(S$5:S127)</f>
        <v>337604.45682451245</v>
      </c>
      <c r="BJ128" s="11">
        <f t="shared" si="138"/>
        <v>-1727.4094707520887</v>
      </c>
      <c r="BK128" s="11">
        <f t="shared" si="139"/>
        <v>-1114.2061281337044</v>
      </c>
      <c r="BL128" s="11">
        <f t="shared" si="140"/>
        <v>-2841.615598885793</v>
      </c>
      <c r="BN128" s="44">
        <f t="shared" si="90"/>
        <v>0.0615</v>
      </c>
      <c r="BO128" s="11">
        <f>BO$5+SUM(BP$5:BP127)+SUM(R$5:R127)-SUM(S$5:S127)+SUM(BS$5:BS127)</f>
        <v>404183.5680172994</v>
      </c>
      <c r="BP128" s="10">
        <f t="shared" si="99"/>
        <v>-555.2784462557611</v>
      </c>
      <c r="BQ128" s="10">
        <f t="shared" si="100"/>
        <v>-2071.4407860886595</v>
      </c>
      <c r="BR128" s="10">
        <f>IF(U128&lt;0,PMT(BN128/12,Podsumowanie!E$8-SUM(AB$5:AB128)+1,BO128),0)</f>
        <v>-2626.7192323444206</v>
      </c>
      <c r="BS128" s="10">
        <f t="shared" si="94"/>
        <v>412.76780724666196</v>
      </c>
      <c r="BU128" s="11">
        <f>BU$5+SUM(BW$5:BW127)+SUM(R$5:R127)-SUM(S$5:S127)+SUM(BY$5,BY127)</f>
        <v>338148.68194730685</v>
      </c>
      <c r="BV128" s="10">
        <f t="shared" si="91"/>
        <v>-1733.0119949799475</v>
      </c>
      <c r="BW128" s="10">
        <f t="shared" si="92"/>
        <v>-1116.0022506511777</v>
      </c>
      <c r="BX128" s="10">
        <f t="shared" si="101"/>
        <v>-2849.014245631125</v>
      </c>
      <c r="BY128" s="10">
        <f t="shared" si="102"/>
        <v>635.0628205333664</v>
      </c>
      <c r="CA128" s="10">
        <f>CA$5+SUM(CB$5:CB127)+SUM(R$5:R127)-SUM(S$5:S127)-SUM(CC$5:CC127)</f>
        <v>394660.75564571866</v>
      </c>
      <c r="CB128" s="10">
        <f t="shared" si="95"/>
        <v>1733.0119949799475</v>
      </c>
      <c r="CC128" s="10">
        <f t="shared" si="96"/>
        <v>2213.9514250977586</v>
      </c>
      <c r="CD128" s="10">
        <f t="shared" si="97"/>
        <v>480.93943011781107</v>
      </c>
      <c r="CF128" s="44">
        <f t="shared" si="93"/>
        <v>0.4669</v>
      </c>
      <c r="CG128" s="10">
        <f t="shared" si="98"/>
        <v>-1033.69</v>
      </c>
      <c r="CH128" s="4">
        <f t="shared" si="103"/>
        <v>0</v>
      </c>
    </row>
    <row r="129" spans="1:86" ht="15.75">
      <c r="A129" s="36"/>
      <c r="B129" s="37">
        <v>41030</v>
      </c>
      <c r="C129" s="77">
        <f t="shared" si="84"/>
        <v>3.57</v>
      </c>
      <c r="D129" s="78">
        <f>C129*(1+Podsumowanie!E$11)</f>
        <v>3.6771</v>
      </c>
      <c r="E129" s="34">
        <f t="shared" si="115"/>
        <v>-618.8010718008786</v>
      </c>
      <c r="F129" s="7">
        <f t="shared" si="136"/>
        <v>-2275.393421119011</v>
      </c>
      <c r="G129" s="7">
        <f t="shared" si="116"/>
        <v>-1364.8189807490128</v>
      </c>
      <c r="H129" s="7">
        <f t="shared" si="137"/>
        <v>910.574440369998</v>
      </c>
      <c r="I129" s="32"/>
      <c r="J129" s="4" t="str">
        <f t="shared" si="110"/>
        <v xml:space="preserve"> </v>
      </c>
      <c r="K129" s="4">
        <f>IF(B129&lt;Podsumowanie!E$7,0,K128+1)</f>
        <v>59</v>
      </c>
      <c r="L129" s="100">
        <f t="shared" si="85"/>
        <v>0.0011</v>
      </c>
      <c r="M129" s="38">
        <f>L129+Podsumowanie!E$6</f>
        <v>0.0131</v>
      </c>
      <c r="N129" s="101">
        <f>MAX(Podsumowanie!E$4+SUM(AA$5:AA128)-SUM(X$5:X129)+SUM(W$5:W129),0)</f>
        <v>159567.6907875097</v>
      </c>
      <c r="O129" s="102">
        <f>MAX(Podsumowanie!E$2+SUM(V$5:V128)-SUM(S$5:S129)+SUM(R$5:R129),0)</f>
        <v>351940.26485326036</v>
      </c>
      <c r="P129" s="39">
        <f t="shared" si="131"/>
        <v>360</v>
      </c>
      <c r="Q129" s="40" t="str">
        <f>IF(AND(K129&gt;0,K129&lt;=Podsumowanie!E$9),"tak","nie")</f>
        <v>nie</v>
      </c>
      <c r="R129" s="41"/>
      <c r="S129" s="42"/>
      <c r="T129" s="88">
        <f t="shared" si="117"/>
        <v>-384.2014557981426</v>
      </c>
      <c r="U129" s="89">
        <f>IF(Q129="tak",T129,IF(P129-SUM(AB$5:AB129)+1&gt;0,IF(Podsumowanie!E$7&lt;B129,IF(SUM(AB$5:AB129)-Podsumowanie!E$9+1&gt;0,PMT(M129/12,P129+1-SUM(AB$5:AB129),O129),T129),0),0))</f>
        <v>-1364.8189807490128</v>
      </c>
      <c r="V129" s="89">
        <f t="shared" si="141"/>
        <v>-980.6175249508701</v>
      </c>
      <c r="W129" s="90" t="str">
        <f>IF(R129&gt;0,R129/(C129*(1-Podsumowanie!E$11))," ")</f>
        <v xml:space="preserve"> </v>
      </c>
      <c r="X129" s="90" t="str">
        <f t="shared" si="111"/>
        <v xml:space="preserve"> </v>
      </c>
      <c r="Y129" s="91">
        <f t="shared" si="109"/>
        <v>-174.19472910969807</v>
      </c>
      <c r="Z129" s="90">
        <f>IF(P129-SUM(AB$5:AB129)+1&gt;0,IF(Podsumowanie!E$7&lt;B129,IF(SUM(AB$5:AB129)-Podsumowanie!E$9+1&gt;0,PMT(M129/12,P129+1-SUM(AB$5:AB129),N129),Y129),0),0)</f>
        <v>-618.8010718008786</v>
      </c>
      <c r="AA129" s="90">
        <f t="shared" si="134"/>
        <v>-444.60634269118054</v>
      </c>
      <c r="AB129" s="8">
        <f>IF(AND(Podsumowanie!E$7&lt;B129,SUM(AB$5:AB128)&lt;P128),1," ")</f>
        <v>1</v>
      </c>
      <c r="AD129" s="10">
        <f>Podsumowanie!E$4-SUM(AF$5:AF128)+SUM(W$42:W129)-SUM(X$42:X129)</f>
        <v>152562.84813555222</v>
      </c>
      <c r="AE129" s="10">
        <f t="shared" si="118"/>
        <v>166.55</v>
      </c>
      <c r="AF129" s="10">
        <f t="shared" si="119"/>
        <v>505.17</v>
      </c>
      <c r="AG129" s="10">
        <f t="shared" si="132"/>
        <v>671.72</v>
      </c>
      <c r="AH129" s="10">
        <f t="shared" si="112"/>
        <v>2469.98</v>
      </c>
      <c r="AI129" s="10">
        <f>Podsumowanie!E$2-SUM(AK$5:AK128)+SUM(R$42:R129)-SUM(S$42:S129)</f>
        <v>336490.03</v>
      </c>
      <c r="AJ129" s="10">
        <f t="shared" si="120"/>
        <v>367.33</v>
      </c>
      <c r="AK129" s="10">
        <f t="shared" si="121"/>
        <v>1114.21</v>
      </c>
      <c r="AL129" s="10">
        <f t="shared" si="122"/>
        <v>1481.54</v>
      </c>
      <c r="AM129" s="10">
        <f t="shared" si="123"/>
        <v>988.44</v>
      </c>
      <c r="AO129" s="43">
        <f t="shared" si="113"/>
        <v>41030</v>
      </c>
      <c r="AP129" s="11">
        <f>AP$5+SUM(AS$5:AS128)-SUM(X$5:X129)+SUM(W$5:W129)</f>
        <v>154780.6600638844</v>
      </c>
      <c r="AQ129" s="10">
        <f t="shared" si="124"/>
        <v>-168.96888723640714</v>
      </c>
      <c r="AR129" s="10">
        <f>IF(AB129=1,IF(Q129="tak",AQ129,PMT(M129/12,P129+1-SUM(AB$5:AB129),AP129)),0)</f>
        <v>-600.2370396468522</v>
      </c>
      <c r="AS129" s="10">
        <f t="shared" si="125"/>
        <v>-431.26815241044505</v>
      </c>
      <c r="AT129" s="10">
        <f t="shared" si="126"/>
        <v>-2142.846231539262</v>
      </c>
      <c r="AV129" s="11">
        <f>AV$5+SUM(AX$5:AX128)+SUM(W$5:W128)-SUM(X$5:X128)</f>
        <v>147985.82719148562</v>
      </c>
      <c r="AW129" s="11">
        <f t="shared" si="127"/>
        <v>-168.96888723640714</v>
      </c>
      <c r="AX129" s="11">
        <f t="shared" si="128"/>
        <v>-490.02</v>
      </c>
      <c r="AY129" s="11">
        <f t="shared" si="133"/>
        <v>-658.9888872364071</v>
      </c>
      <c r="AZ129" s="11">
        <f t="shared" si="114"/>
        <v>-2352.590327433973</v>
      </c>
      <c r="BB129" s="191">
        <f t="shared" si="86"/>
        <v>0.0505</v>
      </c>
      <c r="BC129" s="44">
        <f>BB129+Podsumowanie!$E$6</f>
        <v>0.0625</v>
      </c>
      <c r="BD129" s="11">
        <f>BD$5+SUM(BE$5:BE128)+SUM(R$5:R128)-SUM(S$5:S128)</f>
        <v>373738.52949195716</v>
      </c>
      <c r="BE129" s="10">
        <f t="shared" si="135"/>
        <v>-508.7628047035814</v>
      </c>
      <c r="BF129" s="10">
        <f t="shared" si="130"/>
        <v>-1946.5548411039435</v>
      </c>
      <c r="BG129" s="10">
        <f>IF(U129&lt;0,PMT(BC129/12,Podsumowanie!E$8-SUM(AB$5:AB129)+1,BD129),0)</f>
        <v>-2455.317645807525</v>
      </c>
      <c r="BI129" s="11">
        <f>BI$5+SUM(BK$5:BK128)+SUM(R$5:R128)-SUM(S$5:S128)</f>
        <v>336490.25069637876</v>
      </c>
      <c r="BJ129" s="11">
        <f t="shared" si="138"/>
        <v>-1752.5533890436393</v>
      </c>
      <c r="BK129" s="11">
        <f t="shared" si="139"/>
        <v>-1114.2061281337044</v>
      </c>
      <c r="BL129" s="11">
        <f t="shared" si="140"/>
        <v>-2866.7595171773437</v>
      </c>
      <c r="BN129" s="44">
        <f t="shared" si="90"/>
        <v>0.0626</v>
      </c>
      <c r="BO129" s="11">
        <f>BO$5+SUM(BP$5:BP128)+SUM(R$5:R128)-SUM(S$5:S128)+SUM(BS$5:BS128)</f>
        <v>404041.05737829034</v>
      </c>
      <c r="BP129" s="10">
        <f t="shared" si="99"/>
        <v>-549.1509172043375</v>
      </c>
      <c r="BQ129" s="10">
        <f t="shared" si="100"/>
        <v>-2107.7475159900814</v>
      </c>
      <c r="BR129" s="10">
        <f>IF(U129&lt;0,PMT(BN129/12,Podsumowanie!E$8-SUM(AB$5:AB129)+1,BO129),0)</f>
        <v>-2656.898433194419</v>
      </c>
      <c r="BS129" s="10">
        <f t="shared" si="94"/>
        <v>381.5050120754081</v>
      </c>
      <c r="BU129" s="11">
        <f>BU$5+SUM(BW$5:BW128)+SUM(R$5:R128)-SUM(S$5:S128)+SUM(BY$5,BY128)</f>
        <v>336970.31732795853</v>
      </c>
      <c r="BV129" s="10">
        <f t="shared" si="91"/>
        <v>-1757.8618220608505</v>
      </c>
      <c r="BW129" s="10">
        <f t="shared" si="92"/>
        <v>-1115.7957527415845</v>
      </c>
      <c r="BX129" s="10">
        <f t="shared" si="101"/>
        <v>-2873.657574802435</v>
      </c>
      <c r="BY129" s="10">
        <f t="shared" si="102"/>
        <v>598.2641536834244</v>
      </c>
      <c r="CA129" s="10">
        <f>CA$5+SUM(CB$5:CB128)+SUM(R$5:R128)-SUM(S$5:S128)-SUM(CC$5:CC128)</f>
        <v>394179.8162156008</v>
      </c>
      <c r="CB129" s="10">
        <f t="shared" si="95"/>
        <v>1757.8618220608505</v>
      </c>
      <c r="CC129" s="10">
        <f t="shared" si="96"/>
        <v>2275.393421119011</v>
      </c>
      <c r="CD129" s="10">
        <f t="shared" si="97"/>
        <v>517.5315990581603</v>
      </c>
      <c r="CF129" s="44">
        <f t="shared" si="93"/>
        <v>0.464</v>
      </c>
      <c r="CG129" s="10">
        <f t="shared" si="98"/>
        <v>-1055.78</v>
      </c>
      <c r="CH129" s="4">
        <f t="shared" si="103"/>
        <v>0</v>
      </c>
    </row>
    <row r="130" spans="1:86" ht="15.75">
      <c r="A130" s="36"/>
      <c r="B130" s="37">
        <v>41061</v>
      </c>
      <c r="C130" s="77">
        <f t="shared" si="84"/>
        <v>3.5865</v>
      </c>
      <c r="D130" s="78">
        <f>C130*(1+Podsumowanie!E$11)</f>
        <v>3.694095</v>
      </c>
      <c r="E130" s="34">
        <f t="shared" si="115"/>
        <v>-618.8010718008787</v>
      </c>
      <c r="F130" s="7">
        <f t="shared" si="136"/>
        <v>-2285.909945334267</v>
      </c>
      <c r="G130" s="7">
        <f t="shared" si="116"/>
        <v>-1364.8189807490128</v>
      </c>
      <c r="H130" s="7">
        <f t="shared" si="137"/>
        <v>921.0909645852541</v>
      </c>
      <c r="I130" s="32"/>
      <c r="J130" s="4" t="str">
        <f t="shared" si="110"/>
        <v xml:space="preserve"> </v>
      </c>
      <c r="K130" s="4">
        <f>IF(B130&lt;Podsumowanie!E$7,0,K129+1)</f>
        <v>60</v>
      </c>
      <c r="L130" s="100">
        <f t="shared" si="85"/>
        <v>0.0011</v>
      </c>
      <c r="M130" s="38">
        <f>L130+Podsumowanie!E$6</f>
        <v>0.0131</v>
      </c>
      <c r="N130" s="101">
        <f>MAX(Podsumowanie!E$4+SUM(AA$5:AA129)-SUM(X$5:X130)+SUM(W$5:W130),0)</f>
        <v>159123.08444481852</v>
      </c>
      <c r="O130" s="102">
        <f>MAX(Podsumowanie!E$2+SUM(V$5:V129)-SUM(S$5:S130)+SUM(R$5:R130),0)</f>
        <v>350959.6473283095</v>
      </c>
      <c r="P130" s="39">
        <f t="shared" si="131"/>
        <v>360</v>
      </c>
      <c r="Q130" s="40" t="str">
        <f>IF(AND(K130&gt;0,K130&lt;=Podsumowanie!E$9),"tak","nie")</f>
        <v>nie</v>
      </c>
      <c r="R130" s="41"/>
      <c r="S130" s="42"/>
      <c r="T130" s="88">
        <f t="shared" si="117"/>
        <v>-383.13094833340455</v>
      </c>
      <c r="U130" s="89">
        <f>IF(Q130="tak",T130,IF(P130-SUM(AB$5:AB130)+1&gt;0,IF(Podsumowanie!E$7&lt;B130,IF(SUM(AB$5:AB130)-Podsumowanie!E$9+1&gt;0,PMT(M130/12,P130+1-SUM(AB$5:AB130),O130),T130),0),0))</f>
        <v>-1364.8189807490128</v>
      </c>
      <c r="V130" s="89">
        <f t="shared" si="141"/>
        <v>-981.6880324156082</v>
      </c>
      <c r="W130" s="90" t="str">
        <f>IF(R130&gt;0,R130/(C130*(1-Podsumowanie!E$11))," ")</f>
        <v xml:space="preserve"> </v>
      </c>
      <c r="X130" s="90" t="str">
        <f t="shared" si="111"/>
        <v xml:space="preserve"> </v>
      </c>
      <c r="Y130" s="91">
        <f t="shared" si="109"/>
        <v>-173.70936718559358</v>
      </c>
      <c r="Z130" s="90">
        <f>IF(P130-SUM(AB$5:AB130)+1&gt;0,IF(Podsumowanie!E$7&lt;B130,IF(SUM(AB$5:AB130)-Podsumowanie!E$9+1&gt;0,PMT(M130/12,P130+1-SUM(AB$5:AB130),N130),Y130),0),0)</f>
        <v>-618.8010718008787</v>
      </c>
      <c r="AA130" s="90">
        <f t="shared" si="134"/>
        <v>-445.09170461528515</v>
      </c>
      <c r="AB130" s="8">
        <f>IF(AND(Podsumowanie!E$7&lt;B130,SUM(AB$5:AB129)&lt;P129),1," ")</f>
        <v>1</v>
      </c>
      <c r="AD130" s="10">
        <f>Podsumowanie!E$4-SUM(AF$5:AF129)+SUM(W$42:W130)-SUM(X$42:X130)</f>
        <v>152057.6781355522</v>
      </c>
      <c r="AE130" s="10">
        <f t="shared" si="118"/>
        <v>166</v>
      </c>
      <c r="AF130" s="10">
        <f t="shared" si="119"/>
        <v>505.18</v>
      </c>
      <c r="AG130" s="10">
        <f t="shared" si="132"/>
        <v>671.1800000000001</v>
      </c>
      <c r="AH130" s="10">
        <f t="shared" si="112"/>
        <v>2479.4</v>
      </c>
      <c r="AI130" s="10">
        <f>Podsumowanie!E$2-SUM(AK$5:AK129)+SUM(R$42:R130)-SUM(S$42:S130)</f>
        <v>335375.82000000007</v>
      </c>
      <c r="AJ130" s="10">
        <f t="shared" si="120"/>
        <v>366.12</v>
      </c>
      <c r="AK130" s="10">
        <f t="shared" si="121"/>
        <v>1114.21</v>
      </c>
      <c r="AL130" s="10">
        <f t="shared" si="122"/>
        <v>1480.33</v>
      </c>
      <c r="AM130" s="10">
        <f t="shared" si="123"/>
        <v>999.0700000000002</v>
      </c>
      <c r="AO130" s="43">
        <f t="shared" si="113"/>
        <v>41061</v>
      </c>
      <c r="AP130" s="11">
        <f>AP$5+SUM(AS$5:AS129)-SUM(X$5:X130)+SUM(W$5:W130)</f>
        <v>154349.39191147397</v>
      </c>
      <c r="AQ130" s="10">
        <f t="shared" si="124"/>
        <v>-168.49808617002574</v>
      </c>
      <c r="AR130" s="10">
        <f>IF(AB130=1,IF(Q130="tak",AQ130,PMT(M130/12,P130+1-SUM(AB$5:AB130),AP130)),0)</f>
        <v>-600.2370396468523</v>
      </c>
      <c r="AS130" s="10">
        <f t="shared" si="125"/>
        <v>-431.7389534768265</v>
      </c>
      <c r="AT130" s="10">
        <f t="shared" si="126"/>
        <v>-2152.750142693436</v>
      </c>
      <c r="AV130" s="11">
        <f>AV$5+SUM(AX$5:AX129)+SUM(W$5:W129)-SUM(X$5:X129)</f>
        <v>147495.8071914856</v>
      </c>
      <c r="AW130" s="11">
        <f t="shared" si="127"/>
        <v>-168.49808617002574</v>
      </c>
      <c r="AX130" s="11">
        <f t="shared" si="128"/>
        <v>-490.02</v>
      </c>
      <c r="AY130" s="11">
        <f t="shared" si="133"/>
        <v>-658.5180861700258</v>
      </c>
      <c r="AZ130" s="11">
        <f t="shared" si="114"/>
        <v>-2361.7751160487974</v>
      </c>
      <c r="BB130" s="191">
        <f t="shared" si="86"/>
        <v>0.0512</v>
      </c>
      <c r="BC130" s="44">
        <f>BB130+Podsumowanie!$E$6</f>
        <v>0.0632</v>
      </c>
      <c r="BD130" s="11">
        <f>BD$5+SUM(BE$5:BE129)+SUM(R$5:R129)-SUM(S$5:S129)</f>
        <v>373229.7666872536</v>
      </c>
      <c r="BE130" s="10">
        <f t="shared" si="135"/>
        <v>-505.8446606016648</v>
      </c>
      <c r="BF130" s="10">
        <f t="shared" si="130"/>
        <v>-1965.6767712195358</v>
      </c>
      <c r="BG130" s="10">
        <f>IF(U130&lt;0,PMT(BC130/12,Podsumowanie!E$8-SUM(AB$5:AB130)+1,BD130),0)</f>
        <v>-2471.5214318212006</v>
      </c>
      <c r="BI130" s="11">
        <f>BI$5+SUM(BK$5:BK129)+SUM(R$5:R129)-SUM(S$5:S129)</f>
        <v>335376.04456824507</v>
      </c>
      <c r="BJ130" s="11">
        <f t="shared" si="138"/>
        <v>-1766.3138347260908</v>
      </c>
      <c r="BK130" s="11">
        <f t="shared" si="139"/>
        <v>-1114.2061281337046</v>
      </c>
      <c r="BL130" s="11">
        <f t="shared" si="140"/>
        <v>-2880.5199628597957</v>
      </c>
      <c r="BN130" s="44">
        <f t="shared" si="90"/>
        <v>0.0633</v>
      </c>
      <c r="BO130" s="11">
        <f>BO$5+SUM(BP$5:BP129)+SUM(R$5:R129)-SUM(S$5:S129)+SUM(BS$5:BS129)</f>
        <v>403873.4114731614</v>
      </c>
      <c r="BP130" s="10">
        <f t="shared" si="99"/>
        <v>-546.5201736042432</v>
      </c>
      <c r="BQ130" s="10">
        <f t="shared" si="100"/>
        <v>-2130.4322455209262</v>
      </c>
      <c r="BR130" s="10">
        <f>IF(U130&lt;0,PMT(BN130/12,Podsumowanie!E$8-SUM(AB$5:AB130)+1,BO130),0)</f>
        <v>-2676.9524191251694</v>
      </c>
      <c r="BS130" s="10">
        <f t="shared" si="94"/>
        <v>391.0424737909025</v>
      </c>
      <c r="BU130" s="11">
        <f>BU$5+SUM(BW$5:BW129)+SUM(R$5:R129)-SUM(S$5:S129)+SUM(BY$5,BY129)</f>
        <v>335817.72290836705</v>
      </c>
      <c r="BV130" s="10">
        <f t="shared" si="91"/>
        <v>-1771.438488341636</v>
      </c>
      <c r="BW130" s="10">
        <f t="shared" si="92"/>
        <v>-1115.673498034442</v>
      </c>
      <c r="BX130" s="10">
        <f t="shared" si="101"/>
        <v>-2887.1119863760778</v>
      </c>
      <c r="BY130" s="10">
        <f t="shared" si="102"/>
        <v>601.2020410418108</v>
      </c>
      <c r="CA130" s="10">
        <f>CA$5+SUM(CB$5:CB129)+SUM(R$5:R129)-SUM(S$5:S129)-SUM(CC$5:CC129)</f>
        <v>393662.2846165427</v>
      </c>
      <c r="CB130" s="10">
        <f t="shared" si="95"/>
        <v>1771.438488341636</v>
      </c>
      <c r="CC130" s="10">
        <f t="shared" si="96"/>
        <v>2285.909945334267</v>
      </c>
      <c r="CD130" s="10">
        <f t="shared" si="97"/>
        <v>514.4714569926309</v>
      </c>
      <c r="CF130" s="44">
        <f t="shared" si="93"/>
        <v>0.4611</v>
      </c>
      <c r="CG130" s="10">
        <f t="shared" si="98"/>
        <v>-1054.03</v>
      </c>
      <c r="CH130" s="4">
        <f t="shared" si="103"/>
        <v>0</v>
      </c>
    </row>
    <row r="131" spans="1:86" ht="15.75">
      <c r="A131" s="36"/>
      <c r="B131" s="37">
        <v>41091</v>
      </c>
      <c r="C131" s="77">
        <f t="shared" si="84"/>
        <v>3.4884</v>
      </c>
      <c r="D131" s="78">
        <f>C131*(1+Podsumowanie!E$11)</f>
        <v>3.593052</v>
      </c>
      <c r="E131" s="34">
        <f t="shared" si="115"/>
        <v>-618.8010718008787</v>
      </c>
      <c r="F131" s="7">
        <f t="shared" si="136"/>
        <v>-2223.384428636291</v>
      </c>
      <c r="G131" s="7">
        <f t="shared" si="116"/>
        <v>-1364.8189807490128</v>
      </c>
      <c r="H131" s="7">
        <f t="shared" si="137"/>
        <v>858.5654478872782</v>
      </c>
      <c r="I131" s="32"/>
      <c r="J131" s="4" t="str">
        <f t="shared" si="110"/>
        <v xml:space="preserve"> </v>
      </c>
      <c r="K131" s="4">
        <f>IF(B131&lt;Podsumowanie!E$7,0,K130+1)</f>
        <v>61</v>
      </c>
      <c r="L131" s="100">
        <f t="shared" si="85"/>
        <v>0.0011</v>
      </c>
      <c r="M131" s="38">
        <f>L131+Podsumowanie!E$6</f>
        <v>0.0131</v>
      </c>
      <c r="N131" s="101">
        <f>MAX(Podsumowanie!E$4+SUM(AA$5:AA130)-SUM(X$5:X131)+SUM(W$5:W131),0)</f>
        <v>158677.99274020325</v>
      </c>
      <c r="O131" s="102">
        <f>MAX(Podsumowanie!E$2+SUM(V$5:V130)-SUM(S$5:S131)+SUM(R$5:R131),0)</f>
        <v>349977.9592958939</v>
      </c>
      <c r="P131" s="39">
        <f t="shared" si="131"/>
        <v>360</v>
      </c>
      <c r="Q131" s="40" t="str">
        <f>IF(AND(K131&gt;0,K131&lt;=Podsumowanie!E$9),"tak","nie")</f>
        <v>nie</v>
      </c>
      <c r="R131" s="41"/>
      <c r="S131" s="42"/>
      <c r="T131" s="88">
        <f t="shared" si="117"/>
        <v>-382.05927223135086</v>
      </c>
      <c r="U131" s="89">
        <f>IF(Q131="tak",T131,IF(P131-SUM(AB$5:AB131)+1&gt;0,IF(Podsumowanie!E$7&lt;B131,IF(SUM(AB$5:AB131)-Podsumowanie!E$9+1&gt;0,PMT(M131/12,P131+1-SUM(AB$5:AB131),O131),T131),0),0))</f>
        <v>-1364.8189807490128</v>
      </c>
      <c r="V131" s="89">
        <f t="shared" si="141"/>
        <v>-982.7597085176619</v>
      </c>
      <c r="W131" s="90" t="str">
        <f>IF(R131&gt;0,R131/(C131*(1-Podsumowanie!E$11))," ")</f>
        <v xml:space="preserve"> </v>
      </c>
      <c r="X131" s="90" t="str">
        <f t="shared" si="111"/>
        <v xml:space="preserve"> </v>
      </c>
      <c r="Y131" s="91">
        <f t="shared" si="109"/>
        <v>-173.22347540805524</v>
      </c>
      <c r="Z131" s="90">
        <f>IF(P131-SUM(AB$5:AB131)+1&gt;0,IF(Podsumowanie!E$7&lt;B131,IF(SUM(AB$5:AB131)-Podsumowanie!E$9+1&gt;0,PMT(M131/12,P131+1-SUM(AB$5:AB131),N131),Y131),0),0)</f>
        <v>-618.8010718008787</v>
      </c>
      <c r="AA131" s="90">
        <f t="shared" si="134"/>
        <v>-445.57759639282347</v>
      </c>
      <c r="AB131" s="8">
        <f>IF(AND(Podsumowanie!E$7&lt;B131,SUM(AB$5:AB130)&lt;P130),1," ")</f>
        <v>1</v>
      </c>
      <c r="AD131" s="10">
        <f>Podsumowanie!E$4-SUM(AF$5:AF130)+SUM(W$42:W131)-SUM(X$42:X131)</f>
        <v>151552.49813555222</v>
      </c>
      <c r="AE131" s="10">
        <f t="shared" si="118"/>
        <v>165.44</v>
      </c>
      <c r="AF131" s="10">
        <f t="shared" si="119"/>
        <v>505.17</v>
      </c>
      <c r="AG131" s="10">
        <f t="shared" si="132"/>
        <v>670.61</v>
      </c>
      <c r="AH131" s="10">
        <f t="shared" si="112"/>
        <v>2409.54</v>
      </c>
      <c r="AI131" s="10">
        <f>Podsumowanie!E$2-SUM(AK$5:AK130)+SUM(R$42:R131)-SUM(S$42:S131)</f>
        <v>334261.61000000004</v>
      </c>
      <c r="AJ131" s="10">
        <f t="shared" si="120"/>
        <v>364.9</v>
      </c>
      <c r="AK131" s="10">
        <f t="shared" si="121"/>
        <v>1114.21</v>
      </c>
      <c r="AL131" s="10">
        <f t="shared" si="122"/>
        <v>1479.1100000000001</v>
      </c>
      <c r="AM131" s="10">
        <f t="shared" si="123"/>
        <v>930.4299999999998</v>
      </c>
      <c r="AO131" s="43">
        <f t="shared" si="113"/>
        <v>41091</v>
      </c>
      <c r="AP131" s="11">
        <f>AP$5+SUM(AS$5:AS130)-SUM(X$5:X131)+SUM(W$5:W131)</f>
        <v>153917.65295799714</v>
      </c>
      <c r="AQ131" s="10">
        <f t="shared" si="124"/>
        <v>-168.02677114581357</v>
      </c>
      <c r="AR131" s="10">
        <f>IF(AB131=1,IF(Q131="tak",AQ131,PMT(M131/12,P131+1-SUM(AB$5:AB131),AP131)),0)</f>
        <v>-600.2370396468523</v>
      </c>
      <c r="AS131" s="10">
        <f t="shared" si="125"/>
        <v>-432.21026850103874</v>
      </c>
      <c r="AT131" s="10">
        <f t="shared" si="126"/>
        <v>-2093.8668891040793</v>
      </c>
      <c r="AV131" s="11">
        <f>AV$5+SUM(AX$5:AX130)+SUM(W$5:W130)-SUM(X$5:X130)</f>
        <v>147005.7871914856</v>
      </c>
      <c r="AW131" s="11">
        <f t="shared" si="127"/>
        <v>-168.02677114581357</v>
      </c>
      <c r="AX131" s="11">
        <f t="shared" si="128"/>
        <v>-490.02</v>
      </c>
      <c r="AY131" s="11">
        <f t="shared" si="133"/>
        <v>-658.0467711458135</v>
      </c>
      <c r="AZ131" s="11">
        <f t="shared" si="114"/>
        <v>-2295.530356465056</v>
      </c>
      <c r="BB131" s="191">
        <f t="shared" si="86"/>
        <v>0.0513</v>
      </c>
      <c r="BC131" s="44">
        <f>BB131+Podsumowanie!$E$6</f>
        <v>0.0633</v>
      </c>
      <c r="BD131" s="11">
        <f>BD$5+SUM(BE$5:BE130)+SUM(R$5:R130)-SUM(S$5:S130)</f>
        <v>372723.9220266519</v>
      </c>
      <c r="BE131" s="10">
        <f t="shared" si="135"/>
        <v>-507.71637229474914</v>
      </c>
      <c r="BF131" s="10">
        <f t="shared" si="130"/>
        <v>-1966.1186886905887</v>
      </c>
      <c r="BG131" s="10">
        <f>IF(U131&lt;0,PMT(BC131/12,Podsumowanie!E$8-SUM(AB$5:AB131)+1,BD131),0)</f>
        <v>-2473.835060985338</v>
      </c>
      <c r="BI131" s="11">
        <f>BI$5+SUM(BK$5:BK130)+SUM(R$5:R130)-SUM(S$5:S130)</f>
        <v>334261.8384401114</v>
      </c>
      <c r="BJ131" s="11">
        <f t="shared" si="138"/>
        <v>-1763.2311977715874</v>
      </c>
      <c r="BK131" s="11">
        <f t="shared" si="139"/>
        <v>-1114.2061281337046</v>
      </c>
      <c r="BL131" s="11">
        <f t="shared" si="140"/>
        <v>-2877.437325905292</v>
      </c>
      <c r="BN131" s="44">
        <f t="shared" si="90"/>
        <v>0.0634</v>
      </c>
      <c r="BO131" s="11">
        <f>BO$5+SUM(BP$5:BP130)+SUM(R$5:R130)-SUM(S$5:S130)+SUM(BS$5:BS130)</f>
        <v>403717.93377334805</v>
      </c>
      <c r="BP131" s="10">
        <f t="shared" si="99"/>
        <v>-549.0785330162771</v>
      </c>
      <c r="BQ131" s="10">
        <f t="shared" si="100"/>
        <v>-2132.9764167691887</v>
      </c>
      <c r="BR131" s="10">
        <f>IF(U131&lt;0,PMT(BN131/12,Podsumowanie!E$8-SUM(AB$5:AB131)+1,BO131),0)</f>
        <v>-2682.054949785466</v>
      </c>
      <c r="BS131" s="10">
        <f t="shared" si="94"/>
        <v>458.6705211491749</v>
      </c>
      <c r="BU131" s="11">
        <f>BU$5+SUM(BW$5:BW130)+SUM(R$5:R130)-SUM(S$5:S130)+SUM(BY$5,BY130)</f>
        <v>334704.98729769094</v>
      </c>
      <c r="BV131" s="10">
        <f t="shared" si="91"/>
        <v>-1768.3580162228002</v>
      </c>
      <c r="BW131" s="10">
        <f t="shared" si="92"/>
        <v>-1115.6832909923032</v>
      </c>
      <c r="BX131" s="10">
        <f t="shared" si="101"/>
        <v>-2884.041307215103</v>
      </c>
      <c r="BY131" s="10">
        <f t="shared" si="102"/>
        <v>660.6568785788122</v>
      </c>
      <c r="CA131" s="10">
        <f>CA$5+SUM(CB$5:CB130)+SUM(R$5:R130)-SUM(S$5:S130)-SUM(CC$5:CC130)</f>
        <v>393147.8131595501</v>
      </c>
      <c r="CB131" s="10">
        <f t="shared" si="95"/>
        <v>1768.3580162228002</v>
      </c>
      <c r="CC131" s="10">
        <f t="shared" si="96"/>
        <v>2223.384428636291</v>
      </c>
      <c r="CD131" s="10">
        <f t="shared" si="97"/>
        <v>455.0264124134908</v>
      </c>
      <c r="CF131" s="44">
        <f t="shared" si="93"/>
        <v>0.4684</v>
      </c>
      <c r="CG131" s="10">
        <f t="shared" si="98"/>
        <v>-1041.43</v>
      </c>
      <c r="CH131" s="4">
        <f t="shared" si="103"/>
        <v>0</v>
      </c>
    </row>
    <row r="132" spans="1:86" ht="15.75">
      <c r="A132" s="36"/>
      <c r="B132" s="37">
        <v>41122</v>
      </c>
      <c r="C132" s="77">
        <f t="shared" si="84"/>
        <v>3.4064</v>
      </c>
      <c r="D132" s="78">
        <f>C132*(1+Podsumowanie!E$11)</f>
        <v>3.508592</v>
      </c>
      <c r="E132" s="34">
        <f t="shared" si="115"/>
        <v>-618.8010718008787</v>
      </c>
      <c r="F132" s="7">
        <f t="shared" si="136"/>
        <v>-2171.1204901119886</v>
      </c>
      <c r="G132" s="7">
        <f t="shared" si="116"/>
        <v>-1364.8189807490128</v>
      </c>
      <c r="H132" s="7">
        <f t="shared" si="137"/>
        <v>806.3015093629758</v>
      </c>
      <c r="I132" s="32"/>
      <c r="J132" s="4" t="str">
        <f t="shared" si="110"/>
        <v xml:space="preserve"> </v>
      </c>
      <c r="K132" s="4">
        <f>IF(B132&lt;Podsumowanie!E$7,0,K131+1)</f>
        <v>62</v>
      </c>
      <c r="L132" s="100">
        <f t="shared" si="85"/>
        <v>0.0011</v>
      </c>
      <c r="M132" s="38">
        <f>L132+Podsumowanie!E$6</f>
        <v>0.0131</v>
      </c>
      <c r="N132" s="101">
        <f>MAX(Podsumowanie!E$4+SUM(AA$5:AA131)-SUM(X$5:X132)+SUM(W$5:W132),0)</f>
        <v>158232.41514381042</v>
      </c>
      <c r="O132" s="102">
        <f>MAX(Podsumowanie!E$2+SUM(V$5:V131)-SUM(S$5:S132)+SUM(R$5:R132),0)</f>
        <v>348995.1995873762</v>
      </c>
      <c r="P132" s="39">
        <f t="shared" si="131"/>
        <v>360</v>
      </c>
      <c r="Q132" s="40" t="str">
        <f>IF(AND(K132&gt;0,K132&lt;=Podsumowanie!E$9),"tak","nie")</f>
        <v>nie</v>
      </c>
      <c r="R132" s="41"/>
      <c r="S132" s="42"/>
      <c r="T132" s="88">
        <f t="shared" si="117"/>
        <v>-380.98642621621906</v>
      </c>
      <c r="U132" s="89">
        <f>IF(Q132="tak",T132,IF(P132-SUM(AB$5:AB132)+1&gt;0,IF(Podsumowanie!E$7&lt;B132,IF(SUM(AB$5:AB132)-Podsumowanie!E$9+1&gt;0,PMT(M132/12,P132+1-SUM(AB$5:AB132),O132),T132),0),0))</f>
        <v>-1364.8189807490128</v>
      </c>
      <c r="V132" s="89">
        <f t="shared" si="141"/>
        <v>-983.8325545327937</v>
      </c>
      <c r="W132" s="90" t="str">
        <f>IF(R132&gt;0,R132/(C132*(1-Podsumowanie!E$11))," ")</f>
        <v xml:space="preserve"> </v>
      </c>
      <c r="X132" s="90" t="str">
        <f t="shared" si="111"/>
        <v xml:space="preserve"> </v>
      </c>
      <c r="Y132" s="91">
        <f t="shared" si="109"/>
        <v>-172.7370531986597</v>
      </c>
      <c r="Z132" s="90">
        <f>IF(P132-SUM(AB$5:AB132)+1&gt;0,IF(Podsumowanie!E$7&lt;B132,IF(SUM(AB$5:AB132)-Podsumowanie!E$9+1&gt;0,PMT(M132/12,P132+1-SUM(AB$5:AB132),N132),Y132),0),0)</f>
        <v>-618.8010718008787</v>
      </c>
      <c r="AA132" s="90">
        <f t="shared" si="134"/>
        <v>-446.064018602219</v>
      </c>
      <c r="AB132" s="8">
        <f>IF(AND(Podsumowanie!E$7&lt;B132,SUM(AB$5:AB131)&lt;P131),1," ")</f>
        <v>1</v>
      </c>
      <c r="AD132" s="10">
        <f>Podsumowanie!E$4-SUM(AF$5:AF131)+SUM(W$42:W132)-SUM(X$42:X132)</f>
        <v>151047.32813555223</v>
      </c>
      <c r="AE132" s="10">
        <f t="shared" si="118"/>
        <v>164.89</v>
      </c>
      <c r="AF132" s="10">
        <f t="shared" si="119"/>
        <v>505.18</v>
      </c>
      <c r="AG132" s="10">
        <f t="shared" si="132"/>
        <v>670.0699999999999</v>
      </c>
      <c r="AH132" s="10">
        <f t="shared" si="112"/>
        <v>2351</v>
      </c>
      <c r="AI132" s="10">
        <f>Podsumowanie!E$2-SUM(AK$5:AK131)+SUM(R$42:R132)-SUM(S$42:S132)</f>
        <v>333147.4</v>
      </c>
      <c r="AJ132" s="10">
        <f t="shared" si="120"/>
        <v>363.69</v>
      </c>
      <c r="AK132" s="10">
        <f t="shared" si="121"/>
        <v>1114.21</v>
      </c>
      <c r="AL132" s="10">
        <f t="shared" si="122"/>
        <v>1477.9</v>
      </c>
      <c r="AM132" s="10">
        <f t="shared" si="123"/>
        <v>873.0999999999999</v>
      </c>
      <c r="AO132" s="43">
        <f t="shared" si="113"/>
        <v>41122</v>
      </c>
      <c r="AP132" s="11">
        <f>AP$5+SUM(AS$5:AS131)-SUM(X$5:X132)+SUM(W$5:W132)</f>
        <v>153485.4426894961</v>
      </c>
      <c r="AQ132" s="10">
        <f t="shared" si="124"/>
        <v>-167.5549416026999</v>
      </c>
      <c r="AR132" s="10">
        <f>IF(AB132=1,IF(Q132="tak",AQ132,PMT(M132/12,P132+1-SUM(AB$5:AB132),AP132)),0)</f>
        <v>-600.2370396468523</v>
      </c>
      <c r="AS132" s="10">
        <f t="shared" si="125"/>
        <v>-432.6820980441524</v>
      </c>
      <c r="AT132" s="10">
        <f t="shared" si="126"/>
        <v>-2044.6474518530376</v>
      </c>
      <c r="AV132" s="11">
        <f>AV$5+SUM(AX$5:AX131)+SUM(W$5:W131)-SUM(X$5:X131)</f>
        <v>146515.76719148562</v>
      </c>
      <c r="AW132" s="11">
        <f t="shared" si="127"/>
        <v>-167.5549416026999</v>
      </c>
      <c r="AX132" s="11">
        <f t="shared" si="128"/>
        <v>-490.02</v>
      </c>
      <c r="AY132" s="11">
        <f t="shared" si="133"/>
        <v>-657.5749416026999</v>
      </c>
      <c r="AZ132" s="11">
        <f t="shared" si="114"/>
        <v>-2239.963281075437</v>
      </c>
      <c r="BB132" s="191">
        <f t="shared" si="86"/>
        <v>0.051</v>
      </c>
      <c r="BC132" s="44">
        <f>BB132+Podsumowanie!$E$6</f>
        <v>0.063</v>
      </c>
      <c r="BD132" s="11">
        <f>BD$5+SUM(BE$5:BE131)+SUM(R$5:R131)-SUM(S$5:S131)</f>
        <v>372216.20565435715</v>
      </c>
      <c r="BE132" s="10">
        <f t="shared" si="135"/>
        <v>-512.7778971777595</v>
      </c>
      <c r="BF132" s="10">
        <f t="shared" si="130"/>
        <v>-1954.135079685375</v>
      </c>
      <c r="BG132" s="10">
        <f>IF(U132&lt;0,PMT(BC132/12,Podsumowanie!E$8-SUM(AB$5:AB132)+1,BD132),0)</f>
        <v>-2466.9129768631346</v>
      </c>
      <c r="BI132" s="11">
        <f>BI$5+SUM(BK$5:BK131)+SUM(R$5:R131)-SUM(S$5:S131)</f>
        <v>333147.6323119777</v>
      </c>
      <c r="BJ132" s="11">
        <f t="shared" si="138"/>
        <v>-1749.0250696378828</v>
      </c>
      <c r="BK132" s="11">
        <f t="shared" si="139"/>
        <v>-1114.2061281337046</v>
      </c>
      <c r="BL132" s="11">
        <f t="shared" si="140"/>
        <v>-2863.231197771587</v>
      </c>
      <c r="BN132" s="44">
        <f t="shared" si="90"/>
        <v>0.06309999999999999</v>
      </c>
      <c r="BO132" s="11">
        <f>BO$5+SUM(BP$5:BP131)+SUM(R$5:R131)-SUM(S$5:S131)+SUM(BS$5:BS131)</f>
        <v>403627.52576148097</v>
      </c>
      <c r="BP132" s="10">
        <f t="shared" si="99"/>
        <v>-555.1886418141567</v>
      </c>
      <c r="BQ132" s="10">
        <f t="shared" si="100"/>
        <v>-2122.408072962454</v>
      </c>
      <c r="BR132" s="10">
        <f>IF(U132&lt;0,PMT(BN132/12,Podsumowanie!E$8-SUM(AB$5:AB132)+1,BO132),0)</f>
        <v>-2677.5967147766105</v>
      </c>
      <c r="BS132" s="10">
        <f t="shared" si="94"/>
        <v>506.4762246646219</v>
      </c>
      <c r="BU132" s="11">
        <f>BU$5+SUM(BW$5:BW131)+SUM(R$5:R131)-SUM(S$5:S131)+SUM(BY$5,BY131)</f>
        <v>333648.7588442357</v>
      </c>
      <c r="BV132" s="10">
        <f t="shared" si="91"/>
        <v>-1754.436390255939</v>
      </c>
      <c r="BW132" s="10">
        <f t="shared" si="92"/>
        <v>-1115.8821366027948</v>
      </c>
      <c r="BX132" s="10">
        <f t="shared" si="101"/>
        <v>-2870.318526858734</v>
      </c>
      <c r="BY132" s="10">
        <f t="shared" si="102"/>
        <v>699.1980367467454</v>
      </c>
      <c r="CA132" s="10">
        <f>CA$5+SUM(CB$5:CB131)+SUM(R$5:R131)-SUM(S$5:S131)-SUM(CC$5:CC131)</f>
        <v>392692.78674713656</v>
      </c>
      <c r="CB132" s="10">
        <f t="shared" si="95"/>
        <v>1754.436390255939</v>
      </c>
      <c r="CC132" s="10">
        <f t="shared" si="96"/>
        <v>2171.1204901119886</v>
      </c>
      <c r="CD132" s="10">
        <f t="shared" si="97"/>
        <v>416.68409985604967</v>
      </c>
      <c r="CF132" s="44">
        <f t="shared" si="93"/>
        <v>0.4728</v>
      </c>
      <c r="CG132" s="10">
        <f t="shared" si="98"/>
        <v>-1026.51</v>
      </c>
      <c r="CH132" s="4">
        <f t="shared" si="103"/>
        <v>0</v>
      </c>
    </row>
    <row r="133" spans="1:86" ht="15.75">
      <c r="A133" s="36"/>
      <c r="B133" s="37">
        <v>41153</v>
      </c>
      <c r="C133" s="77">
        <f aca="true" t="shared" si="142" ref="C133:C196">VLOOKUP(B133,Kursy,C$2)</f>
        <v>3.4168</v>
      </c>
      <c r="D133" s="78">
        <f>C133*(1+Podsumowanie!E$11)</f>
        <v>3.519304</v>
      </c>
      <c r="E133" s="34">
        <f t="shared" si="115"/>
        <v>-618.8010718008788</v>
      </c>
      <c r="F133" s="7">
        <f t="shared" si="136"/>
        <v>-2177.74908719312</v>
      </c>
      <c r="G133" s="7">
        <f t="shared" si="116"/>
        <v>-1364.818980749013</v>
      </c>
      <c r="H133" s="7">
        <f t="shared" si="137"/>
        <v>812.930106444107</v>
      </c>
      <c r="I133" s="32"/>
      <c r="J133" s="4" t="str">
        <f t="shared" si="110"/>
        <v xml:space="preserve"> </v>
      </c>
      <c r="K133" s="4">
        <f>IF(B133&lt;Podsumowanie!E$7,0,K132+1)</f>
        <v>63</v>
      </c>
      <c r="L133" s="100">
        <f aca="true" t="shared" si="143" ref="L133:L196">VLOOKUP(B133,Oproc,C$2)</f>
        <v>0.0011</v>
      </c>
      <c r="M133" s="38">
        <f>L133+Podsumowanie!E$6</f>
        <v>0.0131</v>
      </c>
      <c r="N133" s="101">
        <f>MAX(Podsumowanie!E$4+SUM(AA$5:AA132)-SUM(X$5:X133)+SUM(W$5:W133),0)</f>
        <v>157786.3511252082</v>
      </c>
      <c r="O133" s="102">
        <f>MAX(Podsumowanie!E$2+SUM(V$5:V132)-SUM(S$5:S133)+SUM(R$5:R133),0)</f>
        <v>348011.3670328434</v>
      </c>
      <c r="P133" s="39">
        <f t="shared" si="131"/>
        <v>360</v>
      </c>
      <c r="Q133" s="40" t="str">
        <f>IF(AND(K133&gt;0,K133&lt;=Podsumowanie!E$9),"tak","nie")</f>
        <v>nie</v>
      </c>
      <c r="R133" s="41"/>
      <c r="S133" s="42"/>
      <c r="T133" s="88">
        <f t="shared" si="117"/>
        <v>-379.9124090108541</v>
      </c>
      <c r="U133" s="89">
        <f>IF(Q133="tak",T133,IF(P133-SUM(AB$5:AB133)+1&gt;0,IF(Podsumowanie!E$7&lt;B133,IF(SUM(AB$5:AB133)-Podsumowanie!E$9+1&gt;0,PMT(M133/12,P133+1-SUM(AB$5:AB133),O133),T133),0),0))</f>
        <v>-1364.818980749013</v>
      </c>
      <c r="V133" s="89">
        <f t="shared" si="141"/>
        <v>-984.9065717381588</v>
      </c>
      <c r="W133" s="90" t="str">
        <f>IF(R133&gt;0,R133/(C133*(1-Podsumowanie!E$11))," ")</f>
        <v xml:space="preserve"> </v>
      </c>
      <c r="X133" s="90" t="str">
        <f t="shared" si="111"/>
        <v xml:space="preserve"> </v>
      </c>
      <c r="Y133" s="91">
        <f t="shared" si="109"/>
        <v>-172.2500999783523</v>
      </c>
      <c r="Z133" s="90">
        <f>IF(P133-SUM(AB$5:AB133)+1&gt;0,IF(Podsumowanie!E$7&lt;B133,IF(SUM(AB$5:AB133)-Podsumowanie!E$9+1&gt;0,PMT(M133/12,P133+1-SUM(AB$5:AB133),N133),Y133),0),0)</f>
        <v>-618.8010718008788</v>
      </c>
      <c r="AA133" s="90">
        <f t="shared" si="134"/>
        <v>-446.55097182252655</v>
      </c>
      <c r="AB133" s="8">
        <f>IF(AND(Podsumowanie!E$7&lt;B133,SUM(AB$5:AB132)&lt;P132),1," ")</f>
        <v>1</v>
      </c>
      <c r="AD133" s="10">
        <f>Podsumowanie!E$4-SUM(AF$5:AF132)+SUM(W$42:W133)-SUM(X$42:X133)</f>
        <v>150542.1481355522</v>
      </c>
      <c r="AE133" s="10">
        <f t="shared" si="118"/>
        <v>164.34</v>
      </c>
      <c r="AF133" s="10">
        <f t="shared" si="119"/>
        <v>505.17</v>
      </c>
      <c r="AG133" s="10">
        <f t="shared" si="132"/>
        <v>669.51</v>
      </c>
      <c r="AH133" s="10">
        <f t="shared" si="112"/>
        <v>2356.21</v>
      </c>
      <c r="AI133" s="10">
        <f>Podsumowanie!E$2-SUM(AK$5:AK132)+SUM(R$42:R133)-SUM(S$42:S133)</f>
        <v>332033.19000000006</v>
      </c>
      <c r="AJ133" s="10">
        <f t="shared" si="120"/>
        <v>362.47</v>
      </c>
      <c r="AK133" s="10">
        <f t="shared" si="121"/>
        <v>1114.21</v>
      </c>
      <c r="AL133" s="10">
        <f t="shared" si="122"/>
        <v>1476.68</v>
      </c>
      <c r="AM133" s="10">
        <f t="shared" si="123"/>
        <v>879.53</v>
      </c>
      <c r="AO133" s="43">
        <f t="shared" si="113"/>
        <v>41153</v>
      </c>
      <c r="AP133" s="11">
        <f>AP$5+SUM(AS$5:AS132)-SUM(X$5:X133)+SUM(W$5:W133)</f>
        <v>153052.76059145195</v>
      </c>
      <c r="AQ133" s="10">
        <f t="shared" si="124"/>
        <v>-167.08259697900172</v>
      </c>
      <c r="AR133" s="10">
        <f>IF(AB133=1,IF(Q133="tak",AQ133,PMT(M133/12,P133+1-SUM(AB$5:AB133),AP133)),0)</f>
        <v>-600.2370396468525</v>
      </c>
      <c r="AS133" s="10">
        <f t="shared" si="125"/>
        <v>-433.1544426678508</v>
      </c>
      <c r="AT133" s="10">
        <f t="shared" si="126"/>
        <v>-2050.8899170653654</v>
      </c>
      <c r="AV133" s="11">
        <f>AV$5+SUM(AX$5:AX132)+SUM(W$5:W132)-SUM(X$5:X132)</f>
        <v>146025.7471914856</v>
      </c>
      <c r="AW133" s="11">
        <f t="shared" si="127"/>
        <v>-167.08259697900172</v>
      </c>
      <c r="AX133" s="11">
        <f t="shared" si="128"/>
        <v>-490.02</v>
      </c>
      <c r="AY133" s="11">
        <f t="shared" si="133"/>
        <v>-657.1025969790016</v>
      </c>
      <c r="AZ133" s="11">
        <f t="shared" si="114"/>
        <v>-2245.1881533578526</v>
      </c>
      <c r="BB133" s="191">
        <f aca="true" t="shared" si="144" ref="BB133:BB196">VLOOKUP(B133,Oproc,5)</f>
        <v>0.0495</v>
      </c>
      <c r="BC133" s="44">
        <f>BB133+Podsumowanie!$E$6</f>
        <v>0.0615</v>
      </c>
      <c r="BD133" s="11">
        <f>BD$5+SUM(BE$5:BE132)+SUM(R$5:R132)-SUM(S$5:S132)</f>
        <v>371703.4277571794</v>
      </c>
      <c r="BE133" s="10">
        <f t="shared" si="135"/>
        <v>-527.5377890462657</v>
      </c>
      <c r="BF133" s="10">
        <f t="shared" si="130"/>
        <v>-1904.9800672555446</v>
      </c>
      <c r="BG133" s="10">
        <f>IF(U133&lt;0,PMT(BC133/12,Podsumowanie!E$8-SUM(AB$5:AB133)+1,BD133),0)</f>
        <v>-2432.5178563018103</v>
      </c>
      <c r="BI133" s="11">
        <f>BI$5+SUM(BK$5:BK132)+SUM(R$5:R132)-SUM(S$5:S132)</f>
        <v>332033.426183844</v>
      </c>
      <c r="BJ133" s="11">
        <f t="shared" si="138"/>
        <v>-1701.6713091922004</v>
      </c>
      <c r="BK133" s="11">
        <f t="shared" si="139"/>
        <v>-1114.2061281337046</v>
      </c>
      <c r="BL133" s="11">
        <f t="shared" si="140"/>
        <v>-2815.877437325905</v>
      </c>
      <c r="BN133" s="44">
        <f aca="true" t="shared" si="145" ref="BN133:BN196">BB133+$BN$4</f>
        <v>0.0616</v>
      </c>
      <c r="BO133" s="11">
        <f>BO$5+SUM(BP$5:BP132)+SUM(R$5:R132)-SUM(S$5:S132)+SUM(BS$5:BS132)</f>
        <v>403578.8133443314</v>
      </c>
      <c r="BP133" s="10">
        <f t="shared" si="99"/>
        <v>-571.8955320889136</v>
      </c>
      <c r="BQ133" s="10">
        <f t="shared" si="100"/>
        <v>-2071.704575167568</v>
      </c>
      <c r="BR133" s="10">
        <f>IF(U133&lt;0,PMT(BN133/12,Podsumowanie!E$8-SUM(AB$5:AB133)+1,BO133),0)</f>
        <v>-2643.6001072564814</v>
      </c>
      <c r="BS133" s="10">
        <f t="shared" si="94"/>
        <v>465.8510200633614</v>
      </c>
      <c r="BU133" s="11">
        <f>BU$5+SUM(BW$5:BW132)+SUM(R$5:R132)-SUM(S$5:S132)+SUM(BY$5,BY132)</f>
        <v>332571.4178658008</v>
      </c>
      <c r="BV133" s="10">
        <f aca="true" t="shared" si="146" ref="BV133:BV196">IF(AB133=1,-BN133*BU133/12,0)</f>
        <v>-1707.199945044444</v>
      </c>
      <c r="BW133" s="10">
        <f aca="true" t="shared" si="147" ref="BW133:BW196">IF(AB133=1,-BU133/(P133-K133+1),0)</f>
        <v>-1116.0114693483247</v>
      </c>
      <c r="BX133" s="10">
        <f t="shared" si="101"/>
        <v>-2823.2114143927683</v>
      </c>
      <c r="BY133" s="10">
        <f t="shared" si="102"/>
        <v>645.4623271996484</v>
      </c>
      <c r="CA133" s="10">
        <f>CA$5+SUM(CB$5:CB132)+SUM(R$5:R132)-SUM(S$5:S132)-SUM(CC$5:CC132)</f>
        <v>392276.10264728055</v>
      </c>
      <c r="CB133" s="10">
        <f t="shared" si="95"/>
        <v>1707.199945044444</v>
      </c>
      <c r="CC133" s="10">
        <f t="shared" si="96"/>
        <v>2177.74908719312</v>
      </c>
      <c r="CD133" s="10">
        <f t="shared" si="97"/>
        <v>470.5491421486761</v>
      </c>
      <c r="CF133" s="44">
        <f aca="true" t="shared" si="148" ref="CF133:CF196">VLOOKUP(B133,Inflacja,2)</f>
        <v>0.4714</v>
      </c>
      <c r="CG133" s="10">
        <f t="shared" si="98"/>
        <v>-1026.59</v>
      </c>
      <c r="CH133" s="4">
        <f t="shared" si="103"/>
        <v>0</v>
      </c>
    </row>
    <row r="134" spans="1:86" ht="15.75">
      <c r="A134" s="36"/>
      <c r="B134" s="37">
        <v>41183</v>
      </c>
      <c r="C134" s="77">
        <f t="shared" si="142"/>
        <v>3.3965</v>
      </c>
      <c r="D134" s="78">
        <f>C134*(1+Podsumowanie!E$11)</f>
        <v>3.4983950000000004</v>
      </c>
      <c r="E134" s="34">
        <f t="shared" si="115"/>
        <v>-618.8010718008787</v>
      </c>
      <c r="F134" s="7">
        <f t="shared" si="136"/>
        <v>-2164.8105755828356</v>
      </c>
      <c r="G134" s="7">
        <f t="shared" si="116"/>
        <v>-1364.818980749013</v>
      </c>
      <c r="H134" s="7">
        <f t="shared" si="137"/>
        <v>799.9915948338225</v>
      </c>
      <c r="I134" s="32"/>
      <c r="J134" s="4" t="str">
        <f t="shared" si="110"/>
        <v xml:space="preserve"> </v>
      </c>
      <c r="K134" s="4">
        <f>IF(B134&lt;Podsumowanie!E$7,0,K133+1)</f>
        <v>64</v>
      </c>
      <c r="L134" s="100">
        <f t="shared" si="143"/>
        <v>0.0011</v>
      </c>
      <c r="M134" s="38">
        <f>L134+Podsumowanie!E$6</f>
        <v>0.0131</v>
      </c>
      <c r="N134" s="101">
        <f>MAX(Podsumowanie!E$4+SUM(AA$5:AA133)-SUM(X$5:X134)+SUM(W$5:W134),0)</f>
        <v>157339.80015338567</v>
      </c>
      <c r="O134" s="102">
        <f>MAX(Podsumowanie!E$2+SUM(V$5:V133)-SUM(S$5:S134)+SUM(R$5:R134),0)</f>
        <v>347026.4604611053</v>
      </c>
      <c r="P134" s="39">
        <f t="shared" si="131"/>
        <v>360</v>
      </c>
      <c r="Q134" s="40" t="str">
        <f>IF(AND(K134&gt;0,K134&lt;=Podsumowanie!E$9),"tak","nie")</f>
        <v>nie</v>
      </c>
      <c r="R134" s="41"/>
      <c r="S134" s="42"/>
      <c r="T134" s="88">
        <f t="shared" si="117"/>
        <v>-378.8372193367066</v>
      </c>
      <c r="U134" s="89">
        <f>IF(Q134="tak",T134,IF(P134-SUM(AB$5:AB134)+1&gt;0,IF(Podsumowanie!E$7&lt;B134,IF(SUM(AB$5:AB134)-Podsumowanie!E$9+1&gt;0,PMT(M134/12,P134+1-SUM(AB$5:AB134),O134),T134),0),0))</f>
        <v>-1364.818980749013</v>
      </c>
      <c r="V134" s="89">
        <f t="shared" si="141"/>
        <v>-985.9817614123065</v>
      </c>
      <c r="W134" s="90" t="str">
        <f>IF(R134&gt;0,R134/(C134*(1-Podsumowanie!E$11))," ")</f>
        <v xml:space="preserve"> </v>
      </c>
      <c r="X134" s="90" t="str">
        <f t="shared" si="111"/>
        <v xml:space="preserve"> </v>
      </c>
      <c r="Y134" s="91">
        <f t="shared" si="109"/>
        <v>-171.76261516744603</v>
      </c>
      <c r="Z134" s="90">
        <f>IF(P134-SUM(AB$5:AB134)+1&gt;0,IF(Podsumowanie!E$7&lt;B134,IF(SUM(AB$5:AB134)-Podsumowanie!E$9+1&gt;0,PMT(M134/12,P134+1-SUM(AB$5:AB134),N134),Y134),0),0)</f>
        <v>-618.8010718008787</v>
      </c>
      <c r="AA134" s="90">
        <f t="shared" si="134"/>
        <v>-447.0384566334327</v>
      </c>
      <c r="AB134" s="8">
        <f>IF(AND(Podsumowanie!E$7&lt;B134,SUM(AB$5:AB133)&lt;P133),1," ")</f>
        <v>1</v>
      </c>
      <c r="AD134" s="10">
        <f>Podsumowanie!E$4-SUM(AF$5:AF133)+SUM(W$42:W134)-SUM(X$42:X134)</f>
        <v>150036.97813555223</v>
      </c>
      <c r="AE134" s="10">
        <f t="shared" si="118"/>
        <v>163.79</v>
      </c>
      <c r="AF134" s="10">
        <f t="shared" si="119"/>
        <v>505.18</v>
      </c>
      <c r="AG134" s="10">
        <f t="shared" si="132"/>
        <v>668.97</v>
      </c>
      <c r="AH134" s="10">
        <f t="shared" si="112"/>
        <v>2340.32</v>
      </c>
      <c r="AI134" s="10">
        <f>Podsumowanie!E$2-SUM(AK$5:AK133)+SUM(R$42:R134)-SUM(S$42:S134)</f>
        <v>330918.98000000004</v>
      </c>
      <c r="AJ134" s="10">
        <f t="shared" si="120"/>
        <v>361.25</v>
      </c>
      <c r="AK134" s="10">
        <f t="shared" si="121"/>
        <v>1114.21</v>
      </c>
      <c r="AL134" s="10">
        <f t="shared" si="122"/>
        <v>1475.46</v>
      </c>
      <c r="AM134" s="10">
        <f t="shared" si="123"/>
        <v>864.8600000000001</v>
      </c>
      <c r="AO134" s="43">
        <f t="shared" si="113"/>
        <v>41183</v>
      </c>
      <c r="AP134" s="11">
        <f>AP$5+SUM(AS$5:AS133)-SUM(X$5:X134)+SUM(W$5:W134)</f>
        <v>152619.6061487841</v>
      </c>
      <c r="AQ134" s="10">
        <f t="shared" si="124"/>
        <v>-166.60973671242266</v>
      </c>
      <c r="AR134" s="10">
        <f>IF(AB134=1,IF(Q134="tak",AQ134,PMT(M134/12,P134+1-SUM(AB$5:AB134),AP134)),0)</f>
        <v>-600.2370396468525</v>
      </c>
      <c r="AS134" s="10">
        <f t="shared" si="125"/>
        <v>-433.62730293442985</v>
      </c>
      <c r="AT134" s="10">
        <f t="shared" si="126"/>
        <v>-2038.7051051605347</v>
      </c>
      <c r="AV134" s="11">
        <f>AV$5+SUM(AX$5:AX133)+SUM(W$5:W133)-SUM(X$5:X133)</f>
        <v>145535.7271914856</v>
      </c>
      <c r="AW134" s="11">
        <f t="shared" si="127"/>
        <v>-166.60973671242266</v>
      </c>
      <c r="AX134" s="11">
        <f t="shared" si="128"/>
        <v>-490.02</v>
      </c>
      <c r="AY134" s="11">
        <f t="shared" si="133"/>
        <v>-656.6297367124226</v>
      </c>
      <c r="AZ134" s="11">
        <f t="shared" si="114"/>
        <v>-2230.2429007437436</v>
      </c>
      <c r="BB134" s="191">
        <f t="shared" si="144"/>
        <v>0.0482</v>
      </c>
      <c r="BC134" s="44">
        <f>BB134+Podsumowanie!$E$6</f>
        <v>0.060200000000000004</v>
      </c>
      <c r="BD134" s="11">
        <f>BD$5+SUM(BE$5:BE133)+SUM(R$5:R133)-SUM(S$5:S133)</f>
        <v>371175.8899681331</v>
      </c>
      <c r="BE134" s="10">
        <f t="shared" si="135"/>
        <v>-540.8966933705863</v>
      </c>
      <c r="BF134" s="10">
        <f t="shared" si="130"/>
        <v>-1862.0657146734682</v>
      </c>
      <c r="BG134" s="10">
        <f>IF(U134&lt;0,PMT(BC134/12,Podsumowanie!E$8-SUM(AB$5:AB134)+1,BD134),0)</f>
        <v>-2402.9624080440544</v>
      </c>
      <c r="BI134" s="11">
        <f>BI$5+SUM(BK$5:BK133)+SUM(R$5:R133)-SUM(S$5:S133)</f>
        <v>330919.22005571023</v>
      </c>
      <c r="BJ134" s="11">
        <f t="shared" si="138"/>
        <v>-1660.1114206128132</v>
      </c>
      <c r="BK134" s="11">
        <f t="shared" si="139"/>
        <v>-1114.2061281337044</v>
      </c>
      <c r="BL134" s="11">
        <f t="shared" si="140"/>
        <v>-2774.317548746518</v>
      </c>
      <c r="BN134" s="44">
        <f t="shared" si="145"/>
        <v>0.0603</v>
      </c>
      <c r="BO134" s="11">
        <f>BO$5+SUM(BP$5:BP133)+SUM(R$5:R133)-SUM(S$5:S133)+SUM(BS$5:BS133)</f>
        <v>403472.76883230585</v>
      </c>
      <c r="BP134" s="10">
        <f t="shared" si="99"/>
        <v>-587.0637773032856</v>
      </c>
      <c r="BQ134" s="10">
        <f t="shared" si="100"/>
        <v>-2027.4506633823369</v>
      </c>
      <c r="BR134" s="10">
        <f>IF(U134&lt;0,PMT(BN134/12,Podsumowanie!E$8-SUM(AB$5:AB134)+1,BO134),0)</f>
        <v>-2614.5144406856225</v>
      </c>
      <c r="BS134" s="10">
        <f aca="true" t="shared" si="149" ref="BS134:BS197">F134-BR134</f>
        <v>449.70386510278695</v>
      </c>
      <c r="BU134" s="11">
        <f>BU$5+SUM(BW$5:BW133)+SUM(R$5:R133)-SUM(S$5:S133)+SUM(BY$5,BY133)</f>
        <v>331401.67068690533</v>
      </c>
      <c r="BV134" s="10">
        <f t="shared" si="146"/>
        <v>-1665.2933952016992</v>
      </c>
      <c r="BW134" s="10">
        <f t="shared" si="147"/>
        <v>-1115.8305410333512</v>
      </c>
      <c r="BX134" s="10">
        <f t="shared" si="101"/>
        <v>-2781.1239362350507</v>
      </c>
      <c r="BY134" s="10">
        <f t="shared" si="102"/>
        <v>616.3133606522151</v>
      </c>
      <c r="CA134" s="10">
        <f>CA$5+SUM(CB$5:CB133)+SUM(R$5:R133)-SUM(S$5:S133)-SUM(CC$5:CC133)</f>
        <v>391805.55350513186</v>
      </c>
      <c r="CB134" s="10">
        <f aca="true" t="shared" si="150" ref="CB134:CB197">IF(AB134=1,BN134*BU134/12,0)</f>
        <v>1665.2933952016992</v>
      </c>
      <c r="CC134" s="10">
        <f aca="true" t="shared" si="151" ref="CC134:CC197">-F134</f>
        <v>2164.8105755828356</v>
      </c>
      <c r="CD134" s="10">
        <f aca="true" t="shared" si="152" ref="CD134:CD197">CC134-CB134</f>
        <v>499.5171803811363</v>
      </c>
      <c r="CF134" s="44">
        <f t="shared" si="148"/>
        <v>0.4655</v>
      </c>
      <c r="CG134" s="10">
        <f aca="true" t="shared" si="153" ref="CG134:CG197">ROUND(CF134*(F134-S134),2)</f>
        <v>-1007.72</v>
      </c>
      <c r="CH134" s="4">
        <f t="shared" si="103"/>
        <v>0</v>
      </c>
    </row>
    <row r="135" spans="1:86" ht="15.75">
      <c r="A135" s="36"/>
      <c r="B135" s="37">
        <v>41214</v>
      </c>
      <c r="C135" s="77">
        <f t="shared" si="142"/>
        <v>3.431</v>
      </c>
      <c r="D135" s="78">
        <f>C135*(1+Podsumowanie!E$11)</f>
        <v>3.5339300000000002</v>
      </c>
      <c r="E135" s="34">
        <f t="shared" si="115"/>
        <v>-618.8010718008786</v>
      </c>
      <c r="F135" s="7">
        <f t="shared" si="136"/>
        <v>-2186.799671669279</v>
      </c>
      <c r="G135" s="7">
        <f t="shared" si="116"/>
        <v>-1364.8189807490126</v>
      </c>
      <c r="H135" s="7">
        <f t="shared" si="137"/>
        <v>821.9806909202666</v>
      </c>
      <c r="I135" s="32"/>
      <c r="J135" s="4" t="str">
        <f t="shared" si="110"/>
        <v xml:space="preserve"> </v>
      </c>
      <c r="K135" s="4">
        <f>IF(B135&lt;Podsumowanie!E$7,0,K134+1)</f>
        <v>65</v>
      </c>
      <c r="L135" s="100">
        <f t="shared" si="143"/>
        <v>0.0011</v>
      </c>
      <c r="M135" s="38">
        <f>L135+Podsumowanie!E$6</f>
        <v>0.0131</v>
      </c>
      <c r="N135" s="101">
        <f>MAX(Podsumowanie!E$4+SUM(AA$5:AA134)-SUM(X$5:X135)+SUM(W$5:W135),0)</f>
        <v>156892.76169675225</v>
      </c>
      <c r="O135" s="102">
        <f>MAX(Podsumowanie!E$2+SUM(V$5:V134)-SUM(S$5:S135)+SUM(R$5:R135),0)</f>
        <v>346040.47869969293</v>
      </c>
      <c r="P135" s="39">
        <f t="shared" si="131"/>
        <v>360</v>
      </c>
      <c r="Q135" s="40" t="str">
        <f>IF(AND(K135&gt;0,K135&lt;=Podsumowanie!E$9),"tak","nie")</f>
        <v>nie</v>
      </c>
      <c r="R135" s="41"/>
      <c r="S135" s="42"/>
      <c r="T135" s="88">
        <f t="shared" si="117"/>
        <v>-377.76085591383145</v>
      </c>
      <c r="U135" s="89">
        <f>IF(Q135="tak",T135,IF(P135-SUM(AB$5:AB135)+1&gt;0,IF(Podsumowanie!E$7&lt;B135,IF(SUM(AB$5:AB135)-Podsumowanie!E$9+1&gt;0,PMT(M135/12,P135+1-SUM(AB$5:AB135),O135),T135),0),0))</f>
        <v>-1364.8189807490126</v>
      </c>
      <c r="V135" s="89">
        <f t="shared" si="141"/>
        <v>-987.0581248351812</v>
      </c>
      <c r="W135" s="90" t="str">
        <f>IF(R135&gt;0,R135/(C135*(1-Podsumowanie!E$11))," ")</f>
        <v xml:space="preserve"> </v>
      </c>
      <c r="X135" s="90" t="str">
        <f t="shared" si="111"/>
        <v xml:space="preserve"> </v>
      </c>
      <c r="Y135" s="91">
        <f t="shared" si="109"/>
        <v>-171.27459818562122</v>
      </c>
      <c r="Z135" s="90">
        <f>IF(P135-SUM(AB$5:AB135)+1&gt;0,IF(Podsumowanie!E$7&lt;B135,IF(SUM(AB$5:AB135)-Podsumowanie!E$9+1&gt;0,PMT(M135/12,P135+1-SUM(AB$5:AB135),N135),Y135),0),0)</f>
        <v>-618.8010718008786</v>
      </c>
      <c r="AA135" s="90">
        <f t="shared" si="134"/>
        <v>-447.5264736152574</v>
      </c>
      <c r="AB135" s="8">
        <f>IF(AND(Podsumowanie!E$7&lt;B135,SUM(AB$5:AB134)&lt;P134),1," ")</f>
        <v>1</v>
      </c>
      <c r="AD135" s="10">
        <f>Podsumowanie!E$4-SUM(AF$5:AF134)+SUM(W$42:W135)-SUM(X$42:X135)</f>
        <v>149531.7981355522</v>
      </c>
      <c r="AE135" s="10">
        <f t="shared" si="118"/>
        <v>163.24</v>
      </c>
      <c r="AF135" s="10">
        <f t="shared" si="119"/>
        <v>505.17</v>
      </c>
      <c r="AG135" s="10">
        <f t="shared" si="132"/>
        <v>668.4100000000001</v>
      </c>
      <c r="AH135" s="10">
        <f t="shared" si="112"/>
        <v>2362.11</v>
      </c>
      <c r="AI135" s="10">
        <f>Podsumowanie!E$2-SUM(AK$5:AK134)+SUM(R$42:R135)-SUM(S$42:S135)</f>
        <v>329804.77</v>
      </c>
      <c r="AJ135" s="10">
        <f t="shared" si="120"/>
        <v>360.04</v>
      </c>
      <c r="AK135" s="10">
        <f t="shared" si="121"/>
        <v>1114.21</v>
      </c>
      <c r="AL135" s="10">
        <f t="shared" si="122"/>
        <v>1474.25</v>
      </c>
      <c r="AM135" s="10">
        <f t="shared" si="123"/>
        <v>887.8600000000001</v>
      </c>
      <c r="AO135" s="43">
        <f t="shared" si="113"/>
        <v>41214</v>
      </c>
      <c r="AP135" s="11">
        <f>AP$5+SUM(AS$5:AS134)-SUM(X$5:X135)+SUM(W$5:W135)</f>
        <v>152185.97884584966</v>
      </c>
      <c r="AQ135" s="10">
        <f t="shared" si="124"/>
        <v>-166.13636024005254</v>
      </c>
      <c r="AR135" s="10">
        <f>IF(AB135=1,IF(Q135="tak",AQ135,PMT(M135/12,P135+1-SUM(AB$5:AB135),AP135)),0)</f>
        <v>-600.2370396468522</v>
      </c>
      <c r="AS135" s="10">
        <f t="shared" si="125"/>
        <v>-434.1006794067996</v>
      </c>
      <c r="AT135" s="10">
        <f t="shared" si="126"/>
        <v>-2059.4132830283497</v>
      </c>
      <c r="AV135" s="11">
        <f>AV$5+SUM(AX$5:AX134)+SUM(W$5:W134)-SUM(X$5:X134)</f>
        <v>145045.70719148562</v>
      </c>
      <c r="AW135" s="11">
        <f t="shared" si="127"/>
        <v>-166.13636024005254</v>
      </c>
      <c r="AX135" s="11">
        <f t="shared" si="128"/>
        <v>-490.02</v>
      </c>
      <c r="AY135" s="11">
        <f t="shared" si="133"/>
        <v>-656.1563602400525</v>
      </c>
      <c r="AZ135" s="11">
        <f t="shared" si="114"/>
        <v>-2251.27247198362</v>
      </c>
      <c r="BB135" s="191">
        <f t="shared" si="144"/>
        <v>0.0462</v>
      </c>
      <c r="BC135" s="44">
        <f>BB135+Podsumowanie!$E$6</f>
        <v>0.0582</v>
      </c>
      <c r="BD135" s="11">
        <f>BD$5+SUM(BE$5:BE134)+SUM(R$5:R134)-SUM(S$5:S134)</f>
        <v>370634.9932747625</v>
      </c>
      <c r="BE135" s="10">
        <f t="shared" si="135"/>
        <v>-560.3570004107526</v>
      </c>
      <c r="BF135" s="10">
        <f t="shared" si="130"/>
        <v>-1797.5797173825983</v>
      </c>
      <c r="BG135" s="10">
        <f>IF(U135&lt;0,PMT(BC135/12,Podsumowanie!E$8-SUM(AB$5:AB135)+1,BD135),0)</f>
        <v>-2357.936717793351</v>
      </c>
      <c r="BI135" s="11">
        <f>BI$5+SUM(BK$5:BK134)+SUM(R$5:R134)-SUM(S$5:S134)</f>
        <v>329805.01392757654</v>
      </c>
      <c r="BJ135" s="11">
        <f t="shared" si="138"/>
        <v>-1599.5543175487462</v>
      </c>
      <c r="BK135" s="11">
        <f t="shared" si="139"/>
        <v>-1114.2061281337046</v>
      </c>
      <c r="BL135" s="11">
        <f t="shared" si="140"/>
        <v>-2713.760445682451</v>
      </c>
      <c r="BN135" s="44">
        <f t="shared" si="145"/>
        <v>0.0583</v>
      </c>
      <c r="BO135" s="11">
        <f>BO$5+SUM(BP$5:BP134)+SUM(R$5:R134)-SUM(S$5:S134)+SUM(BS$5:BS134)</f>
        <v>403335.4089201054</v>
      </c>
      <c r="BP135" s="10">
        <f aca="true" t="shared" si="154" ref="BP135:BP198">IF(BR135&lt;0,BR135-BQ135,0)</f>
        <v>-608.8743817467978</v>
      </c>
      <c r="BQ135" s="10">
        <f aca="true" t="shared" si="155" ref="BQ135:BQ198">IF(BR135&lt;0,-BO135*BN135/12,0)</f>
        <v>-1959.5378616701785</v>
      </c>
      <c r="BR135" s="10">
        <f>IF(U135&lt;0,PMT(BN135/12,Podsumowanie!E$8-SUM(AB$5:AB135)+1,BO135),0)</f>
        <v>-2568.4122434169763</v>
      </c>
      <c r="BS135" s="10">
        <f t="shared" si="149"/>
        <v>381.6125717476971</v>
      </c>
      <c r="BU135" s="11">
        <f>BU$5+SUM(BW$5:BW134)+SUM(R$5:R134)-SUM(S$5:S134)+SUM(BY$5,BY134)</f>
        <v>330256.6911793245</v>
      </c>
      <c r="BV135" s="10">
        <f t="shared" si="146"/>
        <v>-1604.4970913128848</v>
      </c>
      <c r="BW135" s="10">
        <f t="shared" si="147"/>
        <v>-1115.7320647950153</v>
      </c>
      <c r="BX135" s="10">
        <f aca="true" t="shared" si="156" ref="BX135:BX198">BW135+BV135</f>
        <v>-2720.2291561079</v>
      </c>
      <c r="BY135" s="10">
        <f aca="true" t="shared" si="157" ref="BY135:BY198">$F135-BX135</f>
        <v>533.4294844386209</v>
      </c>
      <c r="CA135" s="10">
        <f>CA$5+SUM(CB$5:CB134)+SUM(R$5:R134)-SUM(S$5:S134)-SUM(CC$5:CC134)</f>
        <v>391306.03632475075</v>
      </c>
      <c r="CB135" s="10">
        <f t="shared" si="150"/>
        <v>1604.4970913128848</v>
      </c>
      <c r="CC135" s="10">
        <f t="shared" si="151"/>
        <v>2186.799671669279</v>
      </c>
      <c r="CD135" s="10">
        <f t="shared" si="152"/>
        <v>582.3025803563944</v>
      </c>
      <c r="CF135" s="44">
        <f t="shared" si="148"/>
        <v>0.4641</v>
      </c>
      <c r="CG135" s="10">
        <f t="shared" si="153"/>
        <v>-1014.89</v>
      </c>
      <c r="CH135" s="4">
        <f aca="true" t="shared" si="158" ref="CH135:CH198">ROUND(R135*CF135,2)</f>
        <v>0</v>
      </c>
    </row>
    <row r="136" spans="1:86" ht="15.75">
      <c r="A136" s="36"/>
      <c r="B136" s="37">
        <v>41244</v>
      </c>
      <c r="C136" s="77">
        <f t="shared" si="142"/>
        <v>3.3871</v>
      </c>
      <c r="D136" s="78">
        <f>C136*(1+Podsumowanie!E$11)</f>
        <v>3.488713</v>
      </c>
      <c r="E136" s="34">
        <f t="shared" si="115"/>
        <v>-618.8010718008787</v>
      </c>
      <c r="F136" s="7">
        <f t="shared" si="136"/>
        <v>-2158.819343605659</v>
      </c>
      <c r="G136" s="7">
        <f t="shared" si="116"/>
        <v>-1364.8189807490128</v>
      </c>
      <c r="H136" s="7">
        <f t="shared" si="137"/>
        <v>794.0003628566462</v>
      </c>
      <c r="I136" s="32"/>
      <c r="J136" s="4" t="str">
        <f t="shared" si="110"/>
        <v xml:space="preserve"> </v>
      </c>
      <c r="K136" s="4">
        <f>IF(B136&lt;Podsumowanie!E$7,0,K135+1)</f>
        <v>66</v>
      </c>
      <c r="L136" s="100">
        <f t="shared" si="143"/>
        <v>0.0011</v>
      </c>
      <c r="M136" s="38">
        <f>L136+Podsumowanie!E$6</f>
        <v>0.0131</v>
      </c>
      <c r="N136" s="101">
        <f>MAX(Podsumowanie!E$4+SUM(AA$5:AA135)-SUM(X$5:X136)+SUM(W$5:W136),0)</f>
        <v>156445.235223137</v>
      </c>
      <c r="O136" s="102">
        <f>MAX(Podsumowanie!E$2+SUM(V$5:V135)-SUM(S$5:S136)+SUM(R$5:R136),0)</f>
        <v>345053.4205748578</v>
      </c>
      <c r="P136" s="39">
        <f t="shared" si="131"/>
        <v>360</v>
      </c>
      <c r="Q136" s="40" t="str">
        <f>IF(AND(K136&gt;0,K136&lt;=Podsumowanie!E$9),"tak","nie")</f>
        <v>nie</v>
      </c>
      <c r="R136" s="41"/>
      <c r="S136" s="42"/>
      <c r="T136" s="88">
        <f t="shared" si="117"/>
        <v>-376.6833174608864</v>
      </c>
      <c r="U136" s="89">
        <f>IF(Q136="tak",T136,IF(P136-SUM(AB$5:AB136)+1&gt;0,IF(Podsumowanie!E$7&lt;B136,IF(SUM(AB$5:AB136)-Podsumowanie!E$9+1&gt;0,PMT(M136/12,P136+1-SUM(AB$5:AB136),O136),T136),0),0))</f>
        <v>-1364.8189807490128</v>
      </c>
      <c r="V136" s="89">
        <f t="shared" si="141"/>
        <v>-988.1356632881264</v>
      </c>
      <c r="W136" s="90" t="str">
        <f>IF(R136&gt;0,R136/(C136*(1-Podsumowanie!E$11))," ")</f>
        <v xml:space="preserve"> </v>
      </c>
      <c r="X136" s="90" t="str">
        <f t="shared" si="111"/>
        <v xml:space="preserve"> </v>
      </c>
      <c r="Y136" s="91">
        <f t="shared" si="109"/>
        <v>-170.78604845192456</v>
      </c>
      <c r="Z136" s="90">
        <f>IF(P136-SUM(AB$5:AB136)+1&gt;0,IF(Podsumowanie!E$7&lt;B136,IF(SUM(AB$5:AB136)-Podsumowanie!E$9+1&gt;0,PMT(M136/12,P136+1-SUM(AB$5:AB136),N136),Y136),0),0)</f>
        <v>-618.8010718008787</v>
      </c>
      <c r="AA136" s="90">
        <f t="shared" si="134"/>
        <v>-448.0150233489542</v>
      </c>
      <c r="AB136" s="8">
        <f>IF(AND(Podsumowanie!E$7&lt;B136,SUM(AB$5:AB135)&lt;P135),1," ")</f>
        <v>1</v>
      </c>
      <c r="AD136" s="10">
        <f>Podsumowanie!E$4-SUM(AF$5:AF135)+SUM(W$42:W136)-SUM(X$42:X136)</f>
        <v>149026.62813555222</v>
      </c>
      <c r="AE136" s="10">
        <f t="shared" si="118"/>
        <v>162.69</v>
      </c>
      <c r="AF136" s="10">
        <f t="shared" si="119"/>
        <v>505.18</v>
      </c>
      <c r="AG136" s="10">
        <f t="shared" si="132"/>
        <v>667.87</v>
      </c>
      <c r="AH136" s="10">
        <f t="shared" si="112"/>
        <v>2330.01</v>
      </c>
      <c r="AI136" s="10">
        <f>Podsumowanie!E$2-SUM(AK$5:AK135)+SUM(R$42:R136)-SUM(S$42:S136)</f>
        <v>328690.56</v>
      </c>
      <c r="AJ136" s="10">
        <f t="shared" si="120"/>
        <v>358.82</v>
      </c>
      <c r="AK136" s="10">
        <f t="shared" si="121"/>
        <v>1114.21</v>
      </c>
      <c r="AL136" s="10">
        <f t="shared" si="122"/>
        <v>1473.03</v>
      </c>
      <c r="AM136" s="10">
        <f t="shared" si="123"/>
        <v>856.9800000000002</v>
      </c>
      <c r="AO136" s="43">
        <f t="shared" si="113"/>
        <v>41244</v>
      </c>
      <c r="AP136" s="11">
        <f>AP$5+SUM(AS$5:AS135)-SUM(X$5:X136)+SUM(W$5:W136)</f>
        <v>151751.87816644285</v>
      </c>
      <c r="AQ136" s="10">
        <f t="shared" si="124"/>
        <v>-165.6624669983668</v>
      </c>
      <c r="AR136" s="10">
        <f>IF(AB136=1,IF(Q136="tak",AQ136,PMT(M136/12,P136+1-SUM(AB$5:AB136),AP136)),0)</f>
        <v>-600.2370396468522</v>
      </c>
      <c r="AS136" s="10">
        <f t="shared" si="125"/>
        <v>-434.5745726484854</v>
      </c>
      <c r="AT136" s="10">
        <f t="shared" si="126"/>
        <v>-2033.062876987853</v>
      </c>
      <c r="AV136" s="11">
        <f>AV$5+SUM(AX$5:AX135)+SUM(W$5:W135)-SUM(X$5:X135)</f>
        <v>144555.6871914856</v>
      </c>
      <c r="AW136" s="11">
        <f t="shared" si="127"/>
        <v>-165.6624669983668</v>
      </c>
      <c r="AX136" s="11">
        <f t="shared" si="128"/>
        <v>-490.02</v>
      </c>
      <c r="AY136" s="11">
        <f t="shared" si="133"/>
        <v>-655.6824669983667</v>
      </c>
      <c r="AZ136" s="11">
        <f t="shared" si="114"/>
        <v>-2220.862083970168</v>
      </c>
      <c r="BB136" s="191">
        <f t="shared" si="144"/>
        <v>0.0426</v>
      </c>
      <c r="BC136" s="44">
        <f>BB136+Podsumowanie!$E$6</f>
        <v>0.054599999999999996</v>
      </c>
      <c r="BD136" s="11">
        <f>BD$5+SUM(BE$5:BE135)+SUM(R$5:R135)-SUM(S$5:S135)</f>
        <v>370074.6362743518</v>
      </c>
      <c r="BE136" s="10">
        <f t="shared" si="135"/>
        <v>-594.2878484592432</v>
      </c>
      <c r="BF136" s="10">
        <f t="shared" si="130"/>
        <v>-1683.8395950483007</v>
      </c>
      <c r="BG136" s="10">
        <f>IF(U136&lt;0,PMT(BC136/12,Podsumowanie!E$8-SUM(AB$5:AB136)+1,BD136),0)</f>
        <v>-2278.127443507544</v>
      </c>
      <c r="BI136" s="11">
        <f>BI$5+SUM(BK$5:BK135)+SUM(R$5:R135)-SUM(S$5:S135)</f>
        <v>328690.80779944285</v>
      </c>
      <c r="BJ136" s="11">
        <f t="shared" si="138"/>
        <v>-1495.5431754874646</v>
      </c>
      <c r="BK136" s="11">
        <f t="shared" si="139"/>
        <v>-1114.2061281337046</v>
      </c>
      <c r="BL136" s="11">
        <f t="shared" si="140"/>
        <v>-2609.749303621169</v>
      </c>
      <c r="BN136" s="44">
        <f t="shared" si="145"/>
        <v>0.0547</v>
      </c>
      <c r="BO136" s="11">
        <f>BO$5+SUM(BP$5:BP135)+SUM(R$5:R135)-SUM(S$5:S135)+SUM(BS$5:BS135)</f>
        <v>403108.14711010625</v>
      </c>
      <c r="BP136" s="10">
        <f t="shared" si="154"/>
        <v>-646.3706640675459</v>
      </c>
      <c r="BQ136" s="10">
        <f t="shared" si="155"/>
        <v>-1837.5013039102341</v>
      </c>
      <c r="BR136" s="10">
        <f>IF(U136&lt;0,PMT(BN136/12,Podsumowanie!E$8-SUM(AB$5:AB136)+1,BO136),0)</f>
        <v>-2483.87196797778</v>
      </c>
      <c r="BS136" s="10">
        <f t="shared" si="149"/>
        <v>325.05262437212104</v>
      </c>
      <c r="BU136" s="11">
        <f>BU$5+SUM(BW$5:BW135)+SUM(R$5:R135)-SUM(S$5:S135)+SUM(BY$5,BY135)</f>
        <v>329058.07523831597</v>
      </c>
      <c r="BV136" s="10">
        <f t="shared" si="146"/>
        <v>-1499.9563929613234</v>
      </c>
      <c r="BW136" s="10">
        <f t="shared" si="147"/>
        <v>-1115.451102502766</v>
      </c>
      <c r="BX136" s="10">
        <f t="shared" si="156"/>
        <v>-2615.407495464089</v>
      </c>
      <c r="BY136" s="10">
        <f t="shared" si="157"/>
        <v>456.58815185843014</v>
      </c>
      <c r="CA136" s="10">
        <f>CA$5+SUM(CB$5:CB135)+SUM(R$5:R135)-SUM(S$5:S135)-SUM(CC$5:CC135)</f>
        <v>390723.7337443943</v>
      </c>
      <c r="CB136" s="10">
        <f t="shared" si="150"/>
        <v>1499.9563929613234</v>
      </c>
      <c r="CC136" s="10">
        <f t="shared" si="151"/>
        <v>2158.819343605659</v>
      </c>
      <c r="CD136" s="10">
        <f t="shared" si="152"/>
        <v>658.8629506443356</v>
      </c>
      <c r="CF136" s="44">
        <f t="shared" si="148"/>
        <v>0.4626</v>
      </c>
      <c r="CG136" s="10">
        <f t="shared" si="153"/>
        <v>-998.67</v>
      </c>
      <c r="CH136" s="4">
        <f t="shared" si="158"/>
        <v>0</v>
      </c>
    </row>
    <row r="137" spans="1:86" ht="15.75">
      <c r="A137" s="36">
        <v>2013</v>
      </c>
      <c r="B137" s="37">
        <v>41275</v>
      </c>
      <c r="C137" s="77">
        <f t="shared" si="142"/>
        <v>3.3679</v>
      </c>
      <c r="D137" s="78">
        <f>C137*(1+Podsumowanie!E$11)</f>
        <v>3.4689370000000004</v>
      </c>
      <c r="E137" s="34">
        <f t="shared" si="115"/>
        <v>-611.6107152030976</v>
      </c>
      <c r="F137" s="7">
        <f t="shared" si="136"/>
        <v>-2121.639039564488</v>
      </c>
      <c r="G137" s="7">
        <f t="shared" si="116"/>
        <v>-1348.9600309019393</v>
      </c>
      <c r="H137" s="7">
        <f t="shared" si="137"/>
        <v>772.6790086625488</v>
      </c>
      <c r="I137" s="32"/>
      <c r="J137" s="4" t="str">
        <f aca="true" t="shared" si="159" ref="J137:J173">IF(H137&lt;0,"Ze względu na spadek kursu CHF, rata jest korzystniejsza niż bez klauzuli indeksacyjnej"," ")</f>
        <v xml:space="preserve"> </v>
      </c>
      <c r="K137" s="4">
        <f>IF(B137&lt;Podsumowanie!E$7,0,K136+1)</f>
        <v>67</v>
      </c>
      <c r="L137" s="100">
        <f t="shared" si="143"/>
        <v>0.0001</v>
      </c>
      <c r="M137" s="38">
        <f>L137+Podsumowanie!E$6</f>
        <v>0.0121</v>
      </c>
      <c r="N137" s="101">
        <f>MAX(Podsumowanie!E$4+SUM(AA$5:AA136)-SUM(X$5:X137)+SUM(W$5:W137),0)</f>
        <v>155997.22019978802</v>
      </c>
      <c r="O137" s="102">
        <f>MAX(Podsumowanie!E$2+SUM(V$5:V136)-SUM(S$5:S137)+SUM(R$5:R137),0)</f>
        <v>344065.2849115697</v>
      </c>
      <c r="P137" s="39">
        <f>P136</f>
        <v>360</v>
      </c>
      <c r="Q137" s="40" t="str">
        <f>IF(AND(K137&gt;0,K137&lt;=Podsumowanie!E$9),"tak","nie")</f>
        <v>nie</v>
      </c>
      <c r="R137" s="41"/>
      <c r="S137" s="42"/>
      <c r="T137" s="88">
        <f t="shared" si="117"/>
        <v>-346.93249561916605</v>
      </c>
      <c r="U137" s="89">
        <f>IF(Q137="tak",T137,IF(P137-SUM(AB$5:AB137)+1&gt;0,IF(Podsumowanie!E$7&lt;B137,IF(SUM(AB$5:AB137)-Podsumowanie!E$9+1&gt;0,PMT(M137/12,P137+1-SUM(AB$5:AB137),O137),T137),0),0))</f>
        <v>-1348.9600309019393</v>
      </c>
      <c r="V137" s="89">
        <f t="shared" si="141"/>
        <v>-1002.0275352827732</v>
      </c>
      <c r="W137" s="90" t="str">
        <f>IF(R137&gt;0,R137/(C137*(1-Podsumowanie!E$11))," ")</f>
        <v xml:space="preserve"> </v>
      </c>
      <c r="X137" s="90" t="str">
        <f aca="true" t="shared" si="160" ref="X137:X168">IF(S137&gt;0,S137/D137," ")</f>
        <v xml:space="preserve"> </v>
      </c>
      <c r="Y137" s="91">
        <f t="shared" si="109"/>
        <v>-157.29719703478625</v>
      </c>
      <c r="Z137" s="90">
        <f>IF(P137-SUM(AB$5:AB137)+1&gt;0,IF(Podsumowanie!E$7&lt;B137,IF(SUM(AB$5:AB137)-Podsumowanie!E$9+1&gt;0,PMT(M137/12,P137+1-SUM(AB$5:AB137),N137),Y137),0),0)</f>
        <v>-611.6107152030976</v>
      </c>
      <c r="AA137" s="90">
        <f t="shared" si="134"/>
        <v>-454.31351816831136</v>
      </c>
      <c r="AB137" s="8">
        <f>IF(AND(Podsumowanie!E$7&lt;B137,SUM(AB$5:AB136)&lt;P136),1," ")</f>
        <v>1</v>
      </c>
      <c r="AD137" s="10">
        <f>Podsumowanie!E$4-SUM(AF$5:AF136)+SUM(W$42:W137)-SUM(X$42:X137)</f>
        <v>148521.44813555223</v>
      </c>
      <c r="AE137" s="10">
        <f t="shared" si="118"/>
        <v>149.76</v>
      </c>
      <c r="AF137" s="10">
        <f t="shared" si="119"/>
        <v>505.17</v>
      </c>
      <c r="AG137" s="10">
        <f t="shared" si="132"/>
        <v>654.9300000000001</v>
      </c>
      <c r="AH137" s="10">
        <f aca="true" t="shared" si="161" ref="AH137:AH168">ROUND(AG137*D137,2)</f>
        <v>2271.91</v>
      </c>
      <c r="AI137" s="10">
        <f>Podsumowanie!E$2-SUM(AK$5:AK136)+SUM(R$42:R137)-SUM(S$42:S137)</f>
        <v>327576.35</v>
      </c>
      <c r="AJ137" s="10">
        <f t="shared" si="120"/>
        <v>330.31</v>
      </c>
      <c r="AK137" s="10">
        <f t="shared" si="121"/>
        <v>1114.21</v>
      </c>
      <c r="AL137" s="10">
        <f t="shared" si="122"/>
        <v>1444.52</v>
      </c>
      <c r="AM137" s="10">
        <f t="shared" si="123"/>
        <v>827.3899999999999</v>
      </c>
      <c r="AO137" s="43">
        <f aca="true" t="shared" si="162" ref="AO137:AO168">B137</f>
        <v>41275</v>
      </c>
      <c r="AP137" s="11">
        <f>AP$5+SUM(AS$5:AS136)-SUM(X$5:X137)+SUM(W$5:W137)</f>
        <v>151317.30359379438</v>
      </c>
      <c r="AQ137" s="10">
        <f t="shared" si="124"/>
        <v>-152.57828112374267</v>
      </c>
      <c r="AR137" s="10">
        <f>IF(AB137=1,IF(Q137="tak",AQ137,PMT(M137/12,P137+1-SUM(AB$5:AB137),AP137)),0)</f>
        <v>-593.2623937470047</v>
      </c>
      <c r="AS137" s="10">
        <f t="shared" si="125"/>
        <v>-440.684112623262</v>
      </c>
      <c r="AT137" s="10">
        <f t="shared" si="126"/>
        <v>-1998.048415900537</v>
      </c>
      <c r="AV137" s="11">
        <f>AV$5+SUM(AX$5:AX136)+SUM(W$5:W136)-SUM(X$5:X136)</f>
        <v>144065.6671914856</v>
      </c>
      <c r="AW137" s="11">
        <f t="shared" si="127"/>
        <v>-152.57828112374267</v>
      </c>
      <c r="AX137" s="11">
        <f t="shared" si="128"/>
        <v>-490.02</v>
      </c>
      <c r="AY137" s="11">
        <f t="shared" si="133"/>
        <v>-642.5982811237427</v>
      </c>
      <c r="AZ137" s="11">
        <f aca="true" t="shared" si="163" ref="AZ137:AZ168">AY137*C137</f>
        <v>-2164.206750996653</v>
      </c>
      <c r="BB137" s="191">
        <f t="shared" si="144"/>
        <v>0.0403</v>
      </c>
      <c r="BC137" s="44">
        <f>BB137+Podsumowanie!$E$6</f>
        <v>0.0523</v>
      </c>
      <c r="BD137" s="11">
        <f>BD$5+SUM(BE$5:BE136)+SUM(R$5:R136)-SUM(S$5:S136)</f>
        <v>369480.34842589253</v>
      </c>
      <c r="BE137" s="10">
        <f t="shared" si="135"/>
        <v>-617.6575562625899</v>
      </c>
      <c r="BF137" s="10">
        <f t="shared" si="130"/>
        <v>-1610.3185185561815</v>
      </c>
      <c r="BG137" s="10">
        <f>IF(U137&lt;0,PMT(BC137/12,Podsumowanie!E$8-SUM(AB$5:AB137)+1,BD137),0)</f>
        <v>-2227.9760748187714</v>
      </c>
      <c r="BI137" s="11">
        <f>BI$5+SUM(BK$5:BK136)+SUM(R$5:R136)-SUM(S$5:S136)</f>
        <v>327576.6016713091</v>
      </c>
      <c r="BJ137" s="11">
        <f t="shared" si="138"/>
        <v>-1427.688022284122</v>
      </c>
      <c r="BK137" s="11">
        <f t="shared" si="139"/>
        <v>-1114.2061281337044</v>
      </c>
      <c r="BL137" s="11">
        <f t="shared" si="140"/>
        <v>-2541.8941504178265</v>
      </c>
      <c r="BN137" s="44">
        <f t="shared" si="145"/>
        <v>0.0524</v>
      </c>
      <c r="BO137" s="11">
        <f>BO$5+SUM(BP$5:BP136)+SUM(R$5:R136)-SUM(S$5:S136)+SUM(BS$5:BS136)</f>
        <v>402786.8290704108</v>
      </c>
      <c r="BP137" s="10">
        <f t="shared" si="154"/>
        <v>-672.3435322828022</v>
      </c>
      <c r="BQ137" s="10">
        <f t="shared" si="155"/>
        <v>-1758.8358202741274</v>
      </c>
      <c r="BR137" s="10">
        <f>IF(U137&lt;0,PMT(BN137/12,Podsumowanie!E$8-SUM(AB$5:AB137)+1,BO137),0)</f>
        <v>-2431.1793525569296</v>
      </c>
      <c r="BS137" s="10">
        <f t="shared" si="149"/>
        <v>309.5403129924416</v>
      </c>
      <c r="BU137" s="11">
        <f>BU$5+SUM(BW$5:BW136)+SUM(R$5:R136)-SUM(S$5:S136)+SUM(BY$5,BY136)</f>
        <v>327865.782803233</v>
      </c>
      <c r="BV137" s="10">
        <f t="shared" si="146"/>
        <v>-1431.6805849074508</v>
      </c>
      <c r="BW137" s="10">
        <f t="shared" si="147"/>
        <v>-1115.1897374259627</v>
      </c>
      <c r="BX137" s="10">
        <f t="shared" si="156"/>
        <v>-2546.8703223334132</v>
      </c>
      <c r="BY137" s="10">
        <f t="shared" si="157"/>
        <v>425.2312827689252</v>
      </c>
      <c r="CA137" s="10">
        <f>CA$5+SUM(CB$5:CB136)+SUM(R$5:R136)-SUM(S$5:S136)-SUM(CC$5:CC136)</f>
        <v>390064.87079375</v>
      </c>
      <c r="CB137" s="10">
        <f t="shared" si="150"/>
        <v>1431.6805849074508</v>
      </c>
      <c r="CC137" s="10">
        <f t="shared" si="151"/>
        <v>2121.639039564488</v>
      </c>
      <c r="CD137" s="10">
        <f t="shared" si="152"/>
        <v>689.9584546570372</v>
      </c>
      <c r="CF137" s="44">
        <f t="shared" si="148"/>
        <v>0.4611</v>
      </c>
      <c r="CG137" s="10">
        <f t="shared" si="153"/>
        <v>-978.29</v>
      </c>
      <c r="CH137" s="4">
        <f t="shared" si="158"/>
        <v>0</v>
      </c>
    </row>
    <row r="138" spans="1:86" ht="15.75">
      <c r="A138" s="36"/>
      <c r="B138" s="37">
        <v>41306</v>
      </c>
      <c r="C138" s="77">
        <f t="shared" si="142"/>
        <v>3.3924</v>
      </c>
      <c r="D138" s="78">
        <f>C138*(1+Podsumowanie!E$11)</f>
        <v>3.494172</v>
      </c>
      <c r="E138" s="34">
        <f t="shared" si="115"/>
        <v>-611.6107152030977</v>
      </c>
      <c r="F138" s="7">
        <f t="shared" si="136"/>
        <v>-2137.073035962638</v>
      </c>
      <c r="G138" s="7">
        <f t="shared" si="116"/>
        <v>-1348.9600309019397</v>
      </c>
      <c r="H138" s="7">
        <f t="shared" si="137"/>
        <v>788.1130050606985</v>
      </c>
      <c r="I138" s="32"/>
      <c r="J138" s="4" t="str">
        <f t="shared" si="159"/>
        <v xml:space="preserve"> </v>
      </c>
      <c r="K138" s="4">
        <f>IF(B138&lt;Podsumowanie!E$7,0,K137+1)</f>
        <v>68</v>
      </c>
      <c r="L138" s="100">
        <f t="shared" si="143"/>
        <v>0.0001</v>
      </c>
      <c r="M138" s="38">
        <f>L138+Podsumowanie!E$6</f>
        <v>0.0121</v>
      </c>
      <c r="N138" s="101">
        <f>MAX(Podsumowanie!E$4+SUM(AA$5:AA137)-SUM(X$5:X138)+SUM(W$5:W138),0)</f>
        <v>155542.9066816197</v>
      </c>
      <c r="O138" s="102">
        <f>MAX(Podsumowanie!E$2+SUM(V$5:V137)-SUM(S$5:S138)+SUM(R$5:R138),0)</f>
        <v>343063.2573762869</v>
      </c>
      <c r="P138" s="39">
        <f t="shared" si="131"/>
        <v>360</v>
      </c>
      <c r="Q138" s="40" t="str">
        <f>IF(AND(K138&gt;0,K138&lt;=Podsumowanie!E$9),"tak","nie")</f>
        <v>nie</v>
      </c>
      <c r="R138" s="41"/>
      <c r="S138" s="42"/>
      <c r="T138" s="88">
        <f t="shared" si="117"/>
        <v>-345.9221178544226</v>
      </c>
      <c r="U138" s="89">
        <f>IF(Q138="tak",T138,IF(P138-SUM(AB$5:AB138)+1&gt;0,IF(Podsumowanie!E$7&lt;B138,IF(SUM(AB$5:AB138)-Podsumowanie!E$9+1&gt;0,PMT(M138/12,P138+1-SUM(AB$5:AB138),O138),T138),0),0))</f>
        <v>-1348.9600309019397</v>
      </c>
      <c r="V138" s="89">
        <f t="shared" si="141"/>
        <v>-1003.0379130475171</v>
      </c>
      <c r="W138" s="90" t="str">
        <f>IF(R138&gt;0,R138/(C138*(1-Podsumowanie!E$11))," ")</f>
        <v xml:space="preserve"> </v>
      </c>
      <c r="X138" s="90" t="str">
        <f t="shared" si="160"/>
        <v xml:space="preserve"> </v>
      </c>
      <c r="Y138" s="91">
        <f t="shared" si="109"/>
        <v>-156.8390975706332</v>
      </c>
      <c r="Z138" s="90">
        <f>IF(P138-SUM(AB$5:AB138)+1&gt;0,IF(Podsumowanie!E$7&lt;B138,IF(SUM(AB$5:AB138)-Podsumowanie!E$9+1&gt;0,PMT(M138/12,P138+1-SUM(AB$5:AB138),N138),Y138),0),0)</f>
        <v>-611.6107152030977</v>
      </c>
      <c r="AA138" s="90">
        <f t="shared" si="134"/>
        <v>-454.77161763246454</v>
      </c>
      <c r="AB138" s="8">
        <f>IF(AND(Podsumowanie!E$7&lt;B138,SUM(AB$5:AB137)&lt;P137),1," ")</f>
        <v>1</v>
      </c>
      <c r="AD138" s="10">
        <f>Podsumowanie!E$4-SUM(AF$5:AF137)+SUM(W$42:W138)-SUM(X$42:X138)</f>
        <v>148016.27813555222</v>
      </c>
      <c r="AE138" s="10">
        <f t="shared" si="118"/>
        <v>149.25</v>
      </c>
      <c r="AF138" s="10">
        <f t="shared" si="119"/>
        <v>505.18</v>
      </c>
      <c r="AG138" s="10">
        <f t="shared" si="132"/>
        <v>654.4300000000001</v>
      </c>
      <c r="AH138" s="10">
        <f t="shared" si="161"/>
        <v>2286.69</v>
      </c>
      <c r="AI138" s="10">
        <f>Podsumowanie!E$2-SUM(AK$5:AK137)+SUM(R$42:R138)-SUM(S$42:S138)</f>
        <v>326462.14</v>
      </c>
      <c r="AJ138" s="10">
        <f t="shared" si="120"/>
        <v>329.18</v>
      </c>
      <c r="AK138" s="10">
        <f t="shared" si="121"/>
        <v>1114.21</v>
      </c>
      <c r="AL138" s="10">
        <f t="shared" si="122"/>
        <v>1443.39</v>
      </c>
      <c r="AM138" s="10">
        <f t="shared" si="123"/>
        <v>843.3</v>
      </c>
      <c r="AO138" s="43">
        <f t="shared" si="162"/>
        <v>41306</v>
      </c>
      <c r="AP138" s="11">
        <f>AP$5+SUM(AS$5:AS137)-SUM(X$5:X138)+SUM(W$5:W138)</f>
        <v>150876.61948117113</v>
      </c>
      <c r="AQ138" s="10">
        <f t="shared" si="124"/>
        <v>-152.13392464351423</v>
      </c>
      <c r="AR138" s="10">
        <f>IF(AB138=1,IF(Q138="tak",AQ138,PMT(M138/12,P138+1-SUM(AB$5:AB138),AP138)),0)</f>
        <v>-593.2623937470048</v>
      </c>
      <c r="AS138" s="10">
        <f t="shared" si="125"/>
        <v>-441.1284691034906</v>
      </c>
      <c r="AT138" s="10">
        <f t="shared" si="126"/>
        <v>-2012.583344547339</v>
      </c>
      <c r="AV138" s="11">
        <f>AV$5+SUM(AX$5:AX137)+SUM(W$5:W137)-SUM(X$5:X137)</f>
        <v>143575.6471914856</v>
      </c>
      <c r="AW138" s="11">
        <f t="shared" si="127"/>
        <v>-152.13392464351423</v>
      </c>
      <c r="AX138" s="11">
        <f t="shared" si="128"/>
        <v>-490.02</v>
      </c>
      <c r="AY138" s="11">
        <f t="shared" si="133"/>
        <v>-642.1539246435142</v>
      </c>
      <c r="AZ138" s="11">
        <f t="shared" si="163"/>
        <v>-2178.4429739606576</v>
      </c>
      <c r="BB138" s="191">
        <f t="shared" si="144"/>
        <v>0.038</v>
      </c>
      <c r="BC138" s="44">
        <f>BB138+Podsumowanie!$E$6</f>
        <v>0.05</v>
      </c>
      <c r="BD138" s="11">
        <f>BD$5+SUM(BE$5:BE137)+SUM(R$5:R137)-SUM(S$5:S137)</f>
        <v>368862.69086962997</v>
      </c>
      <c r="BE138" s="10">
        <f t="shared" si="135"/>
        <v>-641.5859969891876</v>
      </c>
      <c r="BF138" s="10">
        <f t="shared" si="130"/>
        <v>-1536.9278786234581</v>
      </c>
      <c r="BG138" s="10">
        <f>IF(U138&lt;0,PMT(BC138/12,Podsumowanie!E$8-SUM(AB$5:AB138)+1,BD138),0)</f>
        <v>-2178.5138756126457</v>
      </c>
      <c r="BI138" s="11">
        <f>BI$5+SUM(BK$5:BK137)+SUM(R$5:R137)-SUM(S$5:S137)</f>
        <v>326462.3955431754</v>
      </c>
      <c r="BJ138" s="11">
        <f t="shared" si="138"/>
        <v>-1360.2599814298976</v>
      </c>
      <c r="BK138" s="11">
        <f t="shared" si="139"/>
        <v>-1114.2061281337044</v>
      </c>
      <c r="BL138" s="11">
        <f t="shared" si="140"/>
        <v>-2474.466109563602</v>
      </c>
      <c r="BN138" s="44">
        <f t="shared" si="145"/>
        <v>0.0501</v>
      </c>
      <c r="BO138" s="11">
        <f>BO$5+SUM(BP$5:BP137)+SUM(R$5:R137)-SUM(S$5:S137)+SUM(BS$5:BS137)</f>
        <v>402424.0258511205</v>
      </c>
      <c r="BP138" s="10">
        <f t="shared" si="154"/>
        <v>-698.9411390017576</v>
      </c>
      <c r="BQ138" s="10">
        <f t="shared" si="155"/>
        <v>-1680.1203079284278</v>
      </c>
      <c r="BR138" s="10">
        <f>IF(U138&lt;0,PMT(BN138/12,Podsumowanie!E$8-SUM(AB$5:AB138)+1,BO138),0)</f>
        <v>-2379.0614469301854</v>
      </c>
      <c r="BS138" s="10">
        <f t="shared" si="149"/>
        <v>241.98841096754722</v>
      </c>
      <c r="BU138" s="11">
        <f>BU$5+SUM(BW$5:BW137)+SUM(R$5:R137)-SUM(S$5:S137)+SUM(BY$5,BY137)</f>
        <v>326719.23619671754</v>
      </c>
      <c r="BV138" s="10">
        <f t="shared" si="146"/>
        <v>-1364.0528111212957</v>
      </c>
      <c r="BW138" s="10">
        <f t="shared" si="147"/>
        <v>-1115.0827173949403</v>
      </c>
      <c r="BX138" s="10">
        <f t="shared" si="156"/>
        <v>-2479.1355285162363</v>
      </c>
      <c r="BY138" s="10">
        <f t="shared" si="157"/>
        <v>342.0624925535981</v>
      </c>
      <c r="CA138" s="10">
        <f>CA$5+SUM(CB$5:CB137)+SUM(R$5:R137)-SUM(S$5:S137)-SUM(CC$5:CC137)</f>
        <v>389374.91233909293</v>
      </c>
      <c r="CB138" s="10">
        <f t="shared" si="150"/>
        <v>1364.0528111212957</v>
      </c>
      <c r="CC138" s="10">
        <f t="shared" si="151"/>
        <v>2137.073035962638</v>
      </c>
      <c r="CD138" s="10">
        <f t="shared" si="152"/>
        <v>773.0202248413425</v>
      </c>
      <c r="CF138" s="44">
        <f t="shared" si="148"/>
        <v>0.4611</v>
      </c>
      <c r="CG138" s="10">
        <f t="shared" si="153"/>
        <v>-985.4</v>
      </c>
      <c r="CH138" s="4">
        <f t="shared" si="158"/>
        <v>0</v>
      </c>
    </row>
    <row r="139" spans="1:86" ht="15.75">
      <c r="A139" s="36"/>
      <c r="B139" s="37">
        <v>41334</v>
      </c>
      <c r="C139" s="77">
        <f t="shared" si="142"/>
        <v>3.3908</v>
      </c>
      <c r="D139" s="78">
        <f>C139*(1+Podsumowanie!E$11)</f>
        <v>3.492524</v>
      </c>
      <c r="E139" s="34">
        <f t="shared" si="115"/>
        <v>-611.6107152030978</v>
      </c>
      <c r="F139" s="7">
        <f t="shared" si="136"/>
        <v>-2136.065101503984</v>
      </c>
      <c r="G139" s="7">
        <f t="shared" si="116"/>
        <v>-1348.9600309019397</v>
      </c>
      <c r="H139" s="7">
        <f t="shared" si="137"/>
        <v>787.1050706020442</v>
      </c>
      <c r="I139" s="32"/>
      <c r="J139" s="4" t="str">
        <f t="shared" si="159"/>
        <v xml:space="preserve"> </v>
      </c>
      <c r="K139" s="4">
        <f>IF(B139&lt;Podsumowanie!E$7,0,K138+1)</f>
        <v>69</v>
      </c>
      <c r="L139" s="100">
        <f t="shared" si="143"/>
        <v>0.0001</v>
      </c>
      <c r="M139" s="38">
        <f>L139+Podsumowanie!E$6</f>
        <v>0.0121</v>
      </c>
      <c r="N139" s="101">
        <f>MAX(Podsumowanie!E$4+SUM(AA$5:AA138)-SUM(X$5:X139)+SUM(W$5:W139),0)</f>
        <v>155088.13506398725</v>
      </c>
      <c r="O139" s="102">
        <f>MAX(Podsumowanie!E$2+SUM(V$5:V138)-SUM(S$5:S139)+SUM(R$5:R139),0)</f>
        <v>342060.21946323937</v>
      </c>
      <c r="P139" s="39">
        <f t="shared" si="131"/>
        <v>360</v>
      </c>
      <c r="Q139" s="40" t="str">
        <f>IF(AND(K139&gt;0,K139&lt;=Podsumowanie!E$9),"tak","nie")</f>
        <v>nie</v>
      </c>
      <c r="R139" s="41"/>
      <c r="S139" s="42"/>
      <c r="T139" s="88">
        <f t="shared" si="117"/>
        <v>-344.91072129209965</v>
      </c>
      <c r="U139" s="89">
        <f>IF(Q139="tak",T139,IF(P139-SUM(AB$5:AB139)+1&gt;0,IF(Podsumowanie!E$7&lt;B139,IF(SUM(AB$5:AB139)-Podsumowanie!E$9+1&gt;0,PMT(M139/12,P139+1-SUM(AB$5:AB139),O139),T139),0),0))</f>
        <v>-1348.9600309019397</v>
      </c>
      <c r="V139" s="89">
        <f t="shared" si="141"/>
        <v>-1004.0493096098401</v>
      </c>
      <c r="W139" s="90" t="str">
        <f>IF(R139&gt;0,R139/(C139*(1-Podsumowanie!E$11))," ")</f>
        <v xml:space="preserve"> </v>
      </c>
      <c r="X139" s="90" t="str">
        <f t="shared" si="160"/>
        <v xml:space="preserve"> </v>
      </c>
      <c r="Y139" s="91">
        <f t="shared" si="109"/>
        <v>-156.38053618952048</v>
      </c>
      <c r="Z139" s="90">
        <f>IF(P139-SUM(AB$5:AB139)+1&gt;0,IF(Podsumowanie!E$7&lt;B139,IF(SUM(AB$5:AB139)-Podsumowanie!E$9+1&gt;0,PMT(M139/12,P139+1-SUM(AB$5:AB139),N139),Y139),0),0)</f>
        <v>-611.6107152030978</v>
      </c>
      <c r="AA139" s="90">
        <f t="shared" si="134"/>
        <v>-455.2301790135773</v>
      </c>
      <c r="AB139" s="8">
        <f>IF(AND(Podsumowanie!E$7&lt;B139,SUM(AB$5:AB138)&lt;P138),1," ")</f>
        <v>1</v>
      </c>
      <c r="AD139" s="10">
        <f>Podsumowanie!E$4-SUM(AF$5:AF138)+SUM(W$42:W139)-SUM(X$42:X139)</f>
        <v>147511.09813555222</v>
      </c>
      <c r="AE139" s="10">
        <f t="shared" si="118"/>
        <v>148.74</v>
      </c>
      <c r="AF139" s="10">
        <f t="shared" si="119"/>
        <v>505.17</v>
      </c>
      <c r="AG139" s="10">
        <f t="shared" si="132"/>
        <v>653.9100000000001</v>
      </c>
      <c r="AH139" s="10">
        <f t="shared" si="161"/>
        <v>2283.8</v>
      </c>
      <c r="AI139" s="10">
        <f>Podsumowanie!E$2-SUM(AK$5:AK138)+SUM(R$42:R139)-SUM(S$42:S139)</f>
        <v>325347.93</v>
      </c>
      <c r="AJ139" s="10">
        <f t="shared" si="120"/>
        <v>328.06</v>
      </c>
      <c r="AK139" s="10">
        <f t="shared" si="121"/>
        <v>1114.21</v>
      </c>
      <c r="AL139" s="10">
        <f t="shared" si="122"/>
        <v>1442.27</v>
      </c>
      <c r="AM139" s="10">
        <f t="shared" si="123"/>
        <v>841.5300000000002</v>
      </c>
      <c r="AO139" s="43">
        <f t="shared" si="162"/>
        <v>41334</v>
      </c>
      <c r="AP139" s="11">
        <f>AP$5+SUM(AS$5:AS138)-SUM(X$5:X139)+SUM(W$5:W139)</f>
        <v>150435.49101206762</v>
      </c>
      <c r="AQ139" s="10">
        <f t="shared" si="124"/>
        <v>-151.68912010383485</v>
      </c>
      <c r="AR139" s="10">
        <f>IF(AB139=1,IF(Q139="tak",AQ139,PMT(M139/12,P139+1-SUM(AB$5:AB139),AP139)),0)</f>
        <v>-593.2623937470048</v>
      </c>
      <c r="AS139" s="10">
        <f t="shared" si="125"/>
        <v>-441.57327364316995</v>
      </c>
      <c r="AT139" s="10">
        <f t="shared" si="126"/>
        <v>-2011.6341247173439</v>
      </c>
      <c r="AV139" s="11">
        <f>AV$5+SUM(AX$5:AX138)+SUM(W$5:W138)-SUM(X$5:X138)</f>
        <v>143085.6271914856</v>
      </c>
      <c r="AW139" s="11">
        <f t="shared" si="127"/>
        <v>-151.68912010383485</v>
      </c>
      <c r="AX139" s="11">
        <f t="shared" si="128"/>
        <v>-490.02</v>
      </c>
      <c r="AY139" s="11">
        <f t="shared" si="133"/>
        <v>-641.7091201038348</v>
      </c>
      <c r="AZ139" s="11">
        <f t="shared" si="163"/>
        <v>-2175.9072844480834</v>
      </c>
      <c r="BB139" s="191">
        <f t="shared" si="144"/>
        <v>0.0348</v>
      </c>
      <c r="BC139" s="44">
        <f>BB139+Podsumowanie!$E$6</f>
        <v>0.046799999999999994</v>
      </c>
      <c r="BD139" s="11">
        <f>BD$5+SUM(BE$5:BE138)+SUM(R$5:R138)-SUM(S$5:S138)</f>
        <v>368221.1048726408</v>
      </c>
      <c r="BE139" s="10">
        <f t="shared" si="135"/>
        <v>-674.7583008051286</v>
      </c>
      <c r="BF139" s="10">
        <f t="shared" si="130"/>
        <v>-1436.0623090032989</v>
      </c>
      <c r="BG139" s="10">
        <f>IF(U139&lt;0,PMT(BC139/12,Podsumowanie!E$8-SUM(AB$5:AB139)+1,BD139),0)</f>
        <v>-2110.8206098084274</v>
      </c>
      <c r="BI139" s="11">
        <f>BI$5+SUM(BK$5:BK138)+SUM(R$5:R138)-SUM(S$5:S138)</f>
        <v>325348.1894150417</v>
      </c>
      <c r="BJ139" s="11">
        <f t="shared" si="138"/>
        <v>-1268.8579387186626</v>
      </c>
      <c r="BK139" s="11">
        <f t="shared" si="139"/>
        <v>-1114.2061281337044</v>
      </c>
      <c r="BL139" s="11">
        <f t="shared" si="140"/>
        <v>-2383.064066852367</v>
      </c>
      <c r="BN139" s="44">
        <f t="shared" si="145"/>
        <v>0.0469</v>
      </c>
      <c r="BO139" s="11">
        <f>BO$5+SUM(BP$5:BP138)+SUM(R$5:R138)-SUM(S$5:S138)+SUM(BS$5:BS138)</f>
        <v>401967.07312308624</v>
      </c>
      <c r="BP139" s="10">
        <f t="shared" si="154"/>
        <v>-735.5383567954134</v>
      </c>
      <c r="BQ139" s="10">
        <f t="shared" si="155"/>
        <v>-1571.0213107893953</v>
      </c>
      <c r="BR139" s="10">
        <f>IF(U139&lt;0,PMT(BN139/12,Podsumowanie!E$8-SUM(AB$5:AB139)+1,BO139),0)</f>
        <v>-2306.5596675848087</v>
      </c>
      <c r="BS139" s="10">
        <f t="shared" si="149"/>
        <v>170.49456608082482</v>
      </c>
      <c r="BU139" s="11">
        <f>BU$5+SUM(BW$5:BW138)+SUM(R$5:R138)-SUM(S$5:S138)+SUM(BY$5,BY138)</f>
        <v>325520.9846891073</v>
      </c>
      <c r="BV139" s="10">
        <f t="shared" si="146"/>
        <v>-1272.2445151599275</v>
      </c>
      <c r="BW139" s="10">
        <f t="shared" si="147"/>
        <v>-1114.7978927709153</v>
      </c>
      <c r="BX139" s="10">
        <f t="shared" si="156"/>
        <v>-2387.0424079308427</v>
      </c>
      <c r="BY139" s="10">
        <f t="shared" si="157"/>
        <v>250.97730642685883</v>
      </c>
      <c r="CA139" s="10">
        <f>CA$5+SUM(CB$5:CB138)+SUM(R$5:R138)-SUM(S$5:S138)-SUM(CC$5:CC138)</f>
        <v>388601.8921142516</v>
      </c>
      <c r="CB139" s="10">
        <f t="shared" si="150"/>
        <v>1272.2445151599275</v>
      </c>
      <c r="CC139" s="10">
        <f t="shared" si="151"/>
        <v>2136.065101503984</v>
      </c>
      <c r="CD139" s="10">
        <f t="shared" si="152"/>
        <v>863.8205863440564</v>
      </c>
      <c r="CF139" s="44">
        <f t="shared" si="148"/>
        <v>0.4582</v>
      </c>
      <c r="CG139" s="10">
        <f t="shared" si="153"/>
        <v>-978.75</v>
      </c>
      <c r="CH139" s="4">
        <f t="shared" si="158"/>
        <v>0</v>
      </c>
    </row>
    <row r="140" spans="1:86" ht="15.75">
      <c r="A140" s="36"/>
      <c r="B140" s="37">
        <v>41365</v>
      </c>
      <c r="C140" s="77">
        <f t="shared" si="142"/>
        <v>3.3946</v>
      </c>
      <c r="D140" s="78">
        <f>C140*(1+Podsumowanie!E$11)</f>
        <v>3.496438</v>
      </c>
      <c r="E140" s="34">
        <f t="shared" si="115"/>
        <v>-611.6107152030977</v>
      </c>
      <c r="F140" s="7">
        <f t="shared" si="136"/>
        <v>-2138.4589458432883</v>
      </c>
      <c r="G140" s="7">
        <f t="shared" si="116"/>
        <v>-1348.9600309019397</v>
      </c>
      <c r="H140" s="7">
        <f t="shared" si="137"/>
        <v>789.4989149413486</v>
      </c>
      <c r="I140" s="32"/>
      <c r="J140" s="4" t="str">
        <f t="shared" si="159"/>
        <v xml:space="preserve"> </v>
      </c>
      <c r="K140" s="4">
        <f>IF(B140&lt;Podsumowanie!E$7,0,K139+1)</f>
        <v>70</v>
      </c>
      <c r="L140" s="100">
        <f t="shared" si="143"/>
        <v>0.0001</v>
      </c>
      <c r="M140" s="38">
        <f>L140+Podsumowanie!E$6</f>
        <v>0.0121</v>
      </c>
      <c r="N140" s="101">
        <f>MAX(Podsumowanie!E$4+SUM(AA$5:AA139)-SUM(X$5:X140)+SUM(W$5:W140),0)</f>
        <v>154632.90488497366</v>
      </c>
      <c r="O140" s="102">
        <f>MAX(Podsumowanie!E$2+SUM(V$5:V139)-SUM(S$5:S140)+SUM(R$5:R140),0)</f>
        <v>341056.1701536295</v>
      </c>
      <c r="P140" s="39">
        <f t="shared" si="131"/>
        <v>360</v>
      </c>
      <c r="Q140" s="40" t="str">
        <f>IF(AND(K140&gt;0,K140&lt;=Podsumowanie!E$9),"tak","nie")</f>
        <v>nie</v>
      </c>
      <c r="R140" s="41"/>
      <c r="S140" s="42"/>
      <c r="T140" s="88">
        <f t="shared" si="117"/>
        <v>-343.89830490490976</v>
      </c>
      <c r="U140" s="89">
        <f>IF(Q140="tak",T140,IF(P140-SUM(AB$5:AB140)+1&gt;0,IF(Podsumowanie!E$7&lt;B140,IF(SUM(AB$5:AB140)-Podsumowanie!E$9+1&gt;0,PMT(M140/12,P140+1-SUM(AB$5:AB140),O140),T140),0),0))</f>
        <v>-1348.9600309019397</v>
      </c>
      <c r="V140" s="89">
        <f t="shared" si="141"/>
        <v>-1005.06172599703</v>
      </c>
      <c r="W140" s="90" t="str">
        <f>IF(R140&gt;0,R140/(C140*(1-Podsumowanie!E$11))," ")</f>
        <v xml:space="preserve"> </v>
      </c>
      <c r="X140" s="90" t="str">
        <f t="shared" si="160"/>
        <v xml:space="preserve"> </v>
      </c>
      <c r="Y140" s="91">
        <f t="shared" si="109"/>
        <v>-155.92151242568175</v>
      </c>
      <c r="Z140" s="90">
        <f>IF(P140-SUM(AB$5:AB140)+1&gt;0,IF(Podsumowanie!E$7&lt;B140,IF(SUM(AB$5:AB140)-Podsumowanie!E$9+1&gt;0,PMT(M140/12,P140+1-SUM(AB$5:AB140),N140),Y140),0),0)</f>
        <v>-611.6107152030977</v>
      </c>
      <c r="AA140" s="90">
        <f t="shared" si="134"/>
        <v>-455.68920277741597</v>
      </c>
      <c r="AB140" s="8">
        <f>IF(AND(Podsumowanie!E$7&lt;B140,SUM(AB$5:AB139)&lt;P139),1," ")</f>
        <v>1</v>
      </c>
      <c r="AD140" s="10">
        <f>Podsumowanie!E$4-SUM(AF$5:AF139)+SUM(W$42:W140)-SUM(X$42:X140)</f>
        <v>147005.9281355522</v>
      </c>
      <c r="AE140" s="10">
        <f t="shared" si="118"/>
        <v>148.23</v>
      </c>
      <c r="AF140" s="10">
        <f t="shared" si="119"/>
        <v>505.18</v>
      </c>
      <c r="AG140" s="10">
        <f t="shared" si="132"/>
        <v>653.41</v>
      </c>
      <c r="AH140" s="10">
        <f t="shared" si="161"/>
        <v>2284.61</v>
      </c>
      <c r="AI140" s="10">
        <f>Podsumowanie!E$2-SUM(AK$5:AK139)+SUM(R$42:R140)-SUM(S$42:S140)</f>
        <v>324233.72</v>
      </c>
      <c r="AJ140" s="10">
        <f t="shared" si="120"/>
        <v>326.94</v>
      </c>
      <c r="AK140" s="10">
        <f t="shared" si="121"/>
        <v>1114.21</v>
      </c>
      <c r="AL140" s="10">
        <f t="shared" si="122"/>
        <v>1441.15</v>
      </c>
      <c r="AM140" s="10">
        <f t="shared" si="123"/>
        <v>843.46</v>
      </c>
      <c r="AO140" s="43">
        <f t="shared" si="162"/>
        <v>41365</v>
      </c>
      <c r="AP140" s="11">
        <f>AP$5+SUM(AS$5:AS139)-SUM(X$5:X140)+SUM(W$5:W140)</f>
        <v>149993.91773842447</v>
      </c>
      <c r="AQ140" s="10">
        <f t="shared" si="124"/>
        <v>-151.24386705291133</v>
      </c>
      <c r="AR140" s="10">
        <f>IF(AB140=1,IF(Q140="tak",AQ140,PMT(M140/12,P140+1-SUM(AB$5:AB140),AP140)),0)</f>
        <v>-593.2623937470049</v>
      </c>
      <c r="AS140" s="10">
        <f t="shared" si="125"/>
        <v>-442.01852669409357</v>
      </c>
      <c r="AT140" s="10">
        <f t="shared" si="126"/>
        <v>-2013.8885218135829</v>
      </c>
      <c r="AV140" s="11">
        <f>AV$5+SUM(AX$5:AX139)+SUM(W$5:W139)-SUM(X$5:X139)</f>
        <v>142595.60719148561</v>
      </c>
      <c r="AW140" s="11">
        <f t="shared" si="127"/>
        <v>-151.24386705291133</v>
      </c>
      <c r="AX140" s="11">
        <f t="shared" si="128"/>
        <v>-490.02</v>
      </c>
      <c r="AY140" s="11">
        <f t="shared" si="133"/>
        <v>-641.2638670529113</v>
      </c>
      <c r="AZ140" s="11">
        <f t="shared" si="163"/>
        <v>-2176.834323097813</v>
      </c>
      <c r="BB140" s="191">
        <f t="shared" si="144"/>
        <v>0.0329</v>
      </c>
      <c r="BC140" s="44">
        <f>BB140+Podsumowanie!$E$6</f>
        <v>0.044899999999999995</v>
      </c>
      <c r="BD140" s="11">
        <f>BD$5+SUM(BE$5:BE139)+SUM(R$5:R139)-SUM(S$5:S139)</f>
        <v>367546.34657183563</v>
      </c>
      <c r="BE140" s="10">
        <f t="shared" si="135"/>
        <v>-696.0244942709644</v>
      </c>
      <c r="BF140" s="10">
        <f t="shared" si="130"/>
        <v>-1375.2359134229516</v>
      </c>
      <c r="BG140" s="10">
        <f>IF(U140&lt;0,PMT(BC140/12,Podsumowanie!E$8-SUM(AB$5:AB140)+1,BD140),0)</f>
        <v>-2071.260407693916</v>
      </c>
      <c r="BI140" s="11">
        <f>BI$5+SUM(BK$5:BK139)+SUM(R$5:R139)-SUM(S$5:S139)</f>
        <v>324233.983286908</v>
      </c>
      <c r="BJ140" s="11">
        <f t="shared" si="138"/>
        <v>-1213.1754874651808</v>
      </c>
      <c r="BK140" s="11">
        <f t="shared" si="139"/>
        <v>-1114.2061281337046</v>
      </c>
      <c r="BL140" s="11">
        <f t="shared" si="140"/>
        <v>-2327.381615598885</v>
      </c>
      <c r="BN140" s="44">
        <f t="shared" si="145"/>
        <v>0.045</v>
      </c>
      <c r="BO140" s="11">
        <f>BO$5+SUM(BP$5:BP139)+SUM(R$5:R139)-SUM(S$5:S139)+SUM(BS$5:BS139)</f>
        <v>401402.02933237166</v>
      </c>
      <c r="BP140" s="10">
        <f t="shared" si="154"/>
        <v>-759.0553156609492</v>
      </c>
      <c r="BQ140" s="10">
        <f t="shared" si="155"/>
        <v>-1505.2576099963937</v>
      </c>
      <c r="BR140" s="10">
        <f>IF(U140&lt;0,PMT(BN140/12,Podsumowanie!E$8-SUM(AB$5:AB140)+1,BO140),0)</f>
        <v>-2264.312925657343</v>
      </c>
      <c r="BS140" s="10">
        <f t="shared" si="149"/>
        <v>125.85397981405458</v>
      </c>
      <c r="BU140" s="11">
        <f>BU$5+SUM(BW$5:BW139)+SUM(R$5:R139)-SUM(S$5:S139)+SUM(BY$5,BY139)</f>
        <v>324315.1016102096</v>
      </c>
      <c r="BV140" s="10">
        <f t="shared" si="146"/>
        <v>-1216.181631038286</v>
      </c>
      <c r="BW140" s="10">
        <f t="shared" si="147"/>
        <v>-1114.4848852584523</v>
      </c>
      <c r="BX140" s="10">
        <f t="shared" si="156"/>
        <v>-2330.6665162967383</v>
      </c>
      <c r="BY140" s="10">
        <f t="shared" si="157"/>
        <v>192.20757045345</v>
      </c>
      <c r="CA140" s="10">
        <f>CA$5+SUM(CB$5:CB139)+SUM(R$5:R139)-SUM(S$5:S139)-SUM(CC$5:CC139)</f>
        <v>387738.0715279075</v>
      </c>
      <c r="CB140" s="10">
        <f t="shared" si="150"/>
        <v>1216.181631038286</v>
      </c>
      <c r="CC140" s="10">
        <f t="shared" si="151"/>
        <v>2138.4589458432883</v>
      </c>
      <c r="CD140" s="10">
        <f t="shared" si="152"/>
        <v>922.2773148050023</v>
      </c>
      <c r="CF140" s="44">
        <f t="shared" si="148"/>
        <v>0.4524</v>
      </c>
      <c r="CG140" s="10">
        <f t="shared" si="153"/>
        <v>-967.44</v>
      </c>
      <c r="CH140" s="4">
        <f t="shared" si="158"/>
        <v>0</v>
      </c>
    </row>
    <row r="141" spans="1:86" ht="15.75">
      <c r="A141" s="36"/>
      <c r="B141" s="37">
        <v>41395</v>
      </c>
      <c r="C141" s="77">
        <f t="shared" si="142"/>
        <v>3.3653</v>
      </c>
      <c r="D141" s="78">
        <f>C141*(1+Podsumowanie!E$11)</f>
        <v>3.466259</v>
      </c>
      <c r="E141" s="34">
        <f t="shared" si="115"/>
        <v>-611.6107152030977</v>
      </c>
      <c r="F141" s="7">
        <f t="shared" si="136"/>
        <v>-2120.0011460691744</v>
      </c>
      <c r="G141" s="7">
        <f t="shared" si="116"/>
        <v>-1348.9600309019393</v>
      </c>
      <c r="H141" s="7">
        <f t="shared" si="137"/>
        <v>771.0411151672351</v>
      </c>
      <c r="I141" s="32"/>
      <c r="J141" s="4" t="str">
        <f t="shared" si="159"/>
        <v xml:space="preserve"> </v>
      </c>
      <c r="K141" s="4">
        <f>IF(B141&lt;Podsumowanie!E$7,0,K140+1)</f>
        <v>71</v>
      </c>
      <c r="L141" s="100">
        <f t="shared" si="143"/>
        <v>0.0001</v>
      </c>
      <c r="M141" s="38">
        <f>L141+Podsumowanie!E$6</f>
        <v>0.0121</v>
      </c>
      <c r="N141" s="101">
        <f>MAX(Podsumowanie!E$4+SUM(AA$5:AA140)-SUM(X$5:X141)+SUM(W$5:W141),0)</f>
        <v>154177.21568219626</v>
      </c>
      <c r="O141" s="102">
        <f>MAX(Podsumowanie!E$2+SUM(V$5:V140)-SUM(S$5:S141)+SUM(R$5:R141),0)</f>
        <v>340051.1084276325</v>
      </c>
      <c r="P141" s="39">
        <f t="shared" si="131"/>
        <v>360</v>
      </c>
      <c r="Q141" s="40" t="str">
        <f>IF(AND(K141&gt;0,K141&lt;=Podsumowanie!E$9),"tak","nie")</f>
        <v>nie</v>
      </c>
      <c r="R141" s="41"/>
      <c r="S141" s="42"/>
      <c r="T141" s="88">
        <f t="shared" si="117"/>
        <v>-342.8848676645294</v>
      </c>
      <c r="U141" s="89">
        <f>IF(Q141="tak",T141,IF(P141-SUM(AB$5:AB141)+1&gt;0,IF(Podsumowanie!E$7&lt;B141,IF(SUM(AB$5:AB141)-Podsumowanie!E$9+1&gt;0,PMT(M141/12,P141+1-SUM(AB$5:AB141),O141),T141),0),0))</f>
        <v>-1348.9600309019393</v>
      </c>
      <c r="V141" s="89">
        <f t="shared" si="141"/>
        <v>-1006.0751632374099</v>
      </c>
      <c r="W141" s="90" t="str">
        <f>IF(R141&gt;0,R141/(C141*(1-Podsumowanie!E$11))," ")</f>
        <v xml:space="preserve"> </v>
      </c>
      <c r="X141" s="90" t="str">
        <f t="shared" si="160"/>
        <v xml:space="preserve"> </v>
      </c>
      <c r="Y141" s="91">
        <f t="shared" si="109"/>
        <v>-155.46202581288122</v>
      </c>
      <c r="Z141" s="90">
        <f>IF(P141-SUM(AB$5:AB141)+1&gt;0,IF(Podsumowanie!E$7&lt;B141,IF(SUM(AB$5:AB141)-Podsumowanie!E$9+1&gt;0,PMT(M141/12,P141+1-SUM(AB$5:AB141),N141),Y141),0),0)</f>
        <v>-611.6107152030977</v>
      </c>
      <c r="AA141" s="90">
        <f t="shared" si="134"/>
        <v>-456.1486893902165</v>
      </c>
      <c r="AB141" s="8">
        <f>IF(AND(Podsumowanie!E$7&lt;B141,SUM(AB$5:AB140)&lt;P140),1," ")</f>
        <v>1</v>
      </c>
      <c r="AD141" s="10">
        <f>Podsumowanie!E$4-SUM(AF$5:AF140)+SUM(W$42:W141)-SUM(X$42:X141)</f>
        <v>146500.74813555222</v>
      </c>
      <c r="AE141" s="10">
        <f t="shared" si="118"/>
        <v>147.72</v>
      </c>
      <c r="AF141" s="10">
        <f t="shared" si="119"/>
        <v>505.17</v>
      </c>
      <c r="AG141" s="10">
        <f t="shared" si="132"/>
        <v>652.89</v>
      </c>
      <c r="AH141" s="10">
        <f t="shared" si="161"/>
        <v>2263.09</v>
      </c>
      <c r="AI141" s="10">
        <f>Podsumowanie!E$2-SUM(AK$5:AK140)+SUM(R$42:R141)-SUM(S$42:S141)</f>
        <v>323119.51</v>
      </c>
      <c r="AJ141" s="10">
        <f t="shared" si="120"/>
        <v>325.81</v>
      </c>
      <c r="AK141" s="10">
        <f t="shared" si="121"/>
        <v>1114.21</v>
      </c>
      <c r="AL141" s="10">
        <f t="shared" si="122"/>
        <v>1440.02</v>
      </c>
      <c r="AM141" s="10">
        <f t="shared" si="123"/>
        <v>823.0700000000002</v>
      </c>
      <c r="AO141" s="43">
        <f t="shared" si="162"/>
        <v>41395</v>
      </c>
      <c r="AP141" s="11">
        <f>AP$5+SUM(AS$5:AS140)-SUM(X$5:X141)+SUM(W$5:W141)</f>
        <v>149551.89921173037</v>
      </c>
      <c r="AQ141" s="10">
        <f t="shared" si="124"/>
        <v>-150.79816503849477</v>
      </c>
      <c r="AR141" s="10">
        <f>IF(AB141=1,IF(Q141="tak",AQ141,PMT(M141/12,P141+1-SUM(AB$5:AB141),AP141)),0)</f>
        <v>-593.2623937470048</v>
      </c>
      <c r="AS141" s="10">
        <f t="shared" si="125"/>
        <v>-442.46422870851006</v>
      </c>
      <c r="AT141" s="10">
        <f t="shared" si="126"/>
        <v>-1996.5059336767952</v>
      </c>
      <c r="AV141" s="11">
        <f>AV$5+SUM(AX$5:AX140)+SUM(W$5:W140)-SUM(X$5:X140)</f>
        <v>142105.58719148563</v>
      </c>
      <c r="AW141" s="11">
        <f t="shared" si="127"/>
        <v>-150.79816503849477</v>
      </c>
      <c r="AX141" s="11">
        <f t="shared" si="128"/>
        <v>-490.02</v>
      </c>
      <c r="AY141" s="11">
        <f t="shared" si="133"/>
        <v>-640.8181650384947</v>
      </c>
      <c r="AZ141" s="11">
        <f t="shared" si="163"/>
        <v>-2156.5453708040463</v>
      </c>
      <c r="BB141" s="191">
        <f t="shared" si="144"/>
        <v>0.0286</v>
      </c>
      <c r="BC141" s="44">
        <f>BB141+Podsumowanie!$E$6</f>
        <v>0.0406</v>
      </c>
      <c r="BD141" s="11">
        <f>BD$5+SUM(BE$5:BE140)+SUM(R$5:R140)-SUM(S$5:S140)</f>
        <v>366850.32207756466</v>
      </c>
      <c r="BE141" s="10">
        <f t="shared" si="135"/>
        <v>-742.2583817701257</v>
      </c>
      <c r="BF141" s="10">
        <f t="shared" si="130"/>
        <v>-1241.1769230290936</v>
      </c>
      <c r="BG141" s="10">
        <f>IF(U141&lt;0,PMT(BC141/12,Podsumowanie!E$8-SUM(AB$5:AB141)+1,BD141),0)</f>
        <v>-1983.4353047992192</v>
      </c>
      <c r="BI141" s="11">
        <f>BI$5+SUM(BK$5:BK140)+SUM(R$5:R140)-SUM(S$5:S140)</f>
        <v>323119.7771587743</v>
      </c>
      <c r="BJ141" s="11">
        <f t="shared" si="138"/>
        <v>-1093.2219127205196</v>
      </c>
      <c r="BK141" s="11">
        <f t="shared" si="139"/>
        <v>-1114.2061281337046</v>
      </c>
      <c r="BL141" s="11">
        <f t="shared" si="140"/>
        <v>-2207.4280408542245</v>
      </c>
      <c r="BN141" s="44">
        <f t="shared" si="145"/>
        <v>0.0407</v>
      </c>
      <c r="BO141" s="11">
        <f>BO$5+SUM(BP$5:BP140)+SUM(R$5:R140)-SUM(S$5:S140)+SUM(BS$5:BS140)</f>
        <v>400768.8279965248</v>
      </c>
      <c r="BP141" s="10">
        <f t="shared" si="154"/>
        <v>-809.7527324437258</v>
      </c>
      <c r="BQ141" s="10">
        <f t="shared" si="155"/>
        <v>-1359.27427495488</v>
      </c>
      <c r="BR141" s="10">
        <f>IF(U141&lt;0,PMT(BN141/12,Podsumowanie!E$8-SUM(AB$5:AB141)+1,BO141),0)</f>
        <v>-2169.0270073986057</v>
      </c>
      <c r="BS141" s="10">
        <f t="shared" si="149"/>
        <v>49.025861329431336</v>
      </c>
      <c r="BU141" s="11">
        <f>BU$5+SUM(BW$5:BW140)+SUM(R$5:R140)-SUM(S$5:S140)+SUM(BY$5,BY140)</f>
        <v>323141.8469889778</v>
      </c>
      <c r="BV141" s="10">
        <f t="shared" si="146"/>
        <v>-1095.9894310376164</v>
      </c>
      <c r="BW141" s="10">
        <f t="shared" si="147"/>
        <v>-1114.2822309964752</v>
      </c>
      <c r="BX141" s="10">
        <f t="shared" si="156"/>
        <v>-2210.2716620340916</v>
      </c>
      <c r="BY141" s="10">
        <f t="shared" si="157"/>
        <v>90.2705159649172</v>
      </c>
      <c r="CA141" s="10">
        <f>CA$5+SUM(CB$5:CB140)+SUM(R$5:R140)-SUM(S$5:S140)-SUM(CC$5:CC140)</f>
        <v>386815.79421310255</v>
      </c>
      <c r="CB141" s="10">
        <f t="shared" si="150"/>
        <v>1095.9894310376164</v>
      </c>
      <c r="CC141" s="10">
        <f t="shared" si="151"/>
        <v>2120.0011460691744</v>
      </c>
      <c r="CD141" s="10">
        <f t="shared" si="152"/>
        <v>1024.011715031558</v>
      </c>
      <c r="CF141" s="44">
        <f t="shared" si="148"/>
        <v>0.4539</v>
      </c>
      <c r="CG141" s="10">
        <f t="shared" si="153"/>
        <v>-962.27</v>
      </c>
      <c r="CH141" s="4">
        <f t="shared" si="158"/>
        <v>0</v>
      </c>
    </row>
    <row r="142" spans="1:86" ht="15.75">
      <c r="A142" s="36"/>
      <c r="B142" s="37">
        <v>41426</v>
      </c>
      <c r="C142" s="77">
        <f t="shared" si="142"/>
        <v>3.4775</v>
      </c>
      <c r="D142" s="78">
        <f>C142*(1+Podsumowanie!E$11)</f>
        <v>3.5818250000000003</v>
      </c>
      <c r="E142" s="34">
        <f t="shared" si="115"/>
        <v>-611.6107152030977</v>
      </c>
      <c r="F142" s="7">
        <f t="shared" si="136"/>
        <v>-2190.682549982336</v>
      </c>
      <c r="G142" s="7">
        <f t="shared" si="116"/>
        <v>-1348.9600309019393</v>
      </c>
      <c r="H142" s="7">
        <f t="shared" si="137"/>
        <v>841.7225190803965</v>
      </c>
      <c r="I142" s="32"/>
      <c r="J142" s="4" t="str">
        <f t="shared" si="159"/>
        <v xml:space="preserve"> </v>
      </c>
      <c r="K142" s="4">
        <f>IF(B142&lt;Podsumowanie!E$7,0,K141+1)</f>
        <v>72</v>
      </c>
      <c r="L142" s="100">
        <f t="shared" si="143"/>
        <v>0.0001</v>
      </c>
      <c r="M142" s="38">
        <f>L142+Podsumowanie!E$6</f>
        <v>0.0121</v>
      </c>
      <c r="N142" s="101">
        <f>MAX(Podsumowanie!E$4+SUM(AA$5:AA141)-SUM(X$5:X142)+SUM(W$5:W142),0)</f>
        <v>153721.06699280604</v>
      </c>
      <c r="O142" s="102">
        <f>MAX(Podsumowanie!E$2+SUM(V$5:V141)-SUM(S$5:S142)+SUM(R$5:R142),0)</f>
        <v>339045.0332643951</v>
      </c>
      <c r="P142" s="39">
        <f t="shared" si="131"/>
        <v>360</v>
      </c>
      <c r="Q142" s="40" t="str">
        <f>IF(AND(K142&gt;0,K142&lt;=Podsumowanie!E$9),"tak","nie")</f>
        <v>nie</v>
      </c>
      <c r="R142" s="41"/>
      <c r="S142" s="42"/>
      <c r="T142" s="88">
        <f t="shared" si="117"/>
        <v>-341.87040854159835</v>
      </c>
      <c r="U142" s="89">
        <f>IF(Q142="tak",T142,IF(P142-SUM(AB$5:AB142)+1&gt;0,IF(Podsumowanie!E$7&lt;B142,IF(SUM(AB$5:AB142)-Podsumowanie!E$9+1&gt;0,PMT(M142/12,P142+1-SUM(AB$5:AB142),O142),T142),0),0))</f>
        <v>-1348.9600309019393</v>
      </c>
      <c r="V142" s="89">
        <f t="shared" si="141"/>
        <v>-1007.0896223603409</v>
      </c>
      <c r="W142" s="90" t="str">
        <f>IF(R142&gt;0,R142/(C142*(1-Podsumowanie!E$11))," ")</f>
        <v xml:space="preserve"> </v>
      </c>
      <c r="X142" s="90" t="str">
        <f t="shared" si="160"/>
        <v xml:space="preserve"> </v>
      </c>
      <c r="Y142" s="91">
        <f t="shared" si="109"/>
        <v>-155.00207588441273</v>
      </c>
      <c r="Z142" s="90">
        <f>IF(P142-SUM(AB$5:AB142)+1&gt;0,IF(Podsumowanie!E$7&lt;B142,IF(SUM(AB$5:AB142)-Podsumowanie!E$9+1&gt;0,PMT(M142/12,P142+1-SUM(AB$5:AB142),N142),Y142),0),0)</f>
        <v>-611.6107152030977</v>
      </c>
      <c r="AA142" s="90">
        <f t="shared" si="134"/>
        <v>-456.60863931868494</v>
      </c>
      <c r="AB142" s="8">
        <f>IF(AND(Podsumowanie!E$7&lt;B142,SUM(AB$5:AB141)&lt;P141),1," ")</f>
        <v>1</v>
      </c>
      <c r="AD142" s="10">
        <f>Podsumowanie!E$4-SUM(AF$5:AF141)+SUM(W$42:W142)-SUM(X$42:X142)</f>
        <v>145995.57813555223</v>
      </c>
      <c r="AE142" s="10">
        <f t="shared" si="118"/>
        <v>147.21</v>
      </c>
      <c r="AF142" s="10">
        <f t="shared" si="119"/>
        <v>505.18</v>
      </c>
      <c r="AG142" s="10">
        <f t="shared" si="132"/>
        <v>652.39</v>
      </c>
      <c r="AH142" s="10">
        <f t="shared" si="161"/>
        <v>2336.75</v>
      </c>
      <c r="AI142" s="10">
        <f>Podsumowanie!E$2-SUM(AK$5:AK141)+SUM(R$42:R142)-SUM(S$42:S142)</f>
        <v>322005.3</v>
      </c>
      <c r="AJ142" s="10">
        <f t="shared" si="120"/>
        <v>324.69</v>
      </c>
      <c r="AK142" s="10">
        <f t="shared" si="121"/>
        <v>1114.21</v>
      </c>
      <c r="AL142" s="10">
        <f t="shared" si="122"/>
        <v>1438.9</v>
      </c>
      <c r="AM142" s="10">
        <f t="shared" si="123"/>
        <v>897.8499999999999</v>
      </c>
      <c r="AO142" s="43">
        <f t="shared" si="162"/>
        <v>41426</v>
      </c>
      <c r="AP142" s="11">
        <f>AP$5+SUM(AS$5:AS141)-SUM(X$5:X142)+SUM(W$5:W142)</f>
        <v>149109.43498302184</v>
      </c>
      <c r="AQ142" s="10">
        <f t="shared" si="124"/>
        <v>-150.35201360788037</v>
      </c>
      <c r="AR142" s="10">
        <f>IF(AB142=1,IF(Q142="tak",AQ142,PMT(M142/12,P142+1-SUM(AB$5:AB142),AP142)),0)</f>
        <v>-593.2623937470047</v>
      </c>
      <c r="AS142" s="10">
        <f t="shared" si="125"/>
        <v>-442.9103801391243</v>
      </c>
      <c r="AT142" s="10">
        <f t="shared" si="126"/>
        <v>-2063.0699742552088</v>
      </c>
      <c r="AV142" s="11">
        <f>AV$5+SUM(AX$5:AX141)+SUM(W$5:W141)-SUM(X$5:X141)</f>
        <v>141615.5671914856</v>
      </c>
      <c r="AW142" s="11">
        <f t="shared" si="127"/>
        <v>-150.35201360788037</v>
      </c>
      <c r="AX142" s="11">
        <f t="shared" si="128"/>
        <v>-490.02</v>
      </c>
      <c r="AY142" s="11">
        <f t="shared" si="133"/>
        <v>-640.3720136078804</v>
      </c>
      <c r="AZ142" s="11">
        <f t="shared" si="163"/>
        <v>-2226.893677321404</v>
      </c>
      <c r="BB142" s="191">
        <f t="shared" si="144"/>
        <v>0.0274</v>
      </c>
      <c r="BC142" s="44">
        <f>BB142+Podsumowanie!$E$6</f>
        <v>0.039400000000000004</v>
      </c>
      <c r="BD142" s="11">
        <f>BD$5+SUM(BE$5:BE141)+SUM(R$5:R141)-SUM(S$5:S141)</f>
        <v>366108.06369579455</v>
      </c>
      <c r="BE142" s="10">
        <f t="shared" si="135"/>
        <v>-757.3050652392324</v>
      </c>
      <c r="BF142" s="10">
        <f t="shared" si="130"/>
        <v>-1202.0548091345256</v>
      </c>
      <c r="BG142" s="10">
        <f>IF(U142&lt;0,PMT(BC142/12,Podsumowanie!E$8-SUM(AB$5:AB142)+1,BD142),0)</f>
        <v>-1959.359874373758</v>
      </c>
      <c r="BI142" s="11">
        <f>BI$5+SUM(BK$5:BK141)+SUM(R$5:R141)-SUM(S$5:S141)</f>
        <v>322005.57103064057</v>
      </c>
      <c r="BJ142" s="11">
        <f t="shared" si="138"/>
        <v>-1057.2516248839368</v>
      </c>
      <c r="BK142" s="11">
        <f t="shared" si="139"/>
        <v>-1114.2061281337044</v>
      </c>
      <c r="BL142" s="11">
        <f t="shared" si="140"/>
        <v>-2171.457753017641</v>
      </c>
      <c r="BN142" s="44">
        <f t="shared" si="145"/>
        <v>0.0395</v>
      </c>
      <c r="BO142" s="11">
        <f>BO$5+SUM(BP$5:BP141)+SUM(R$5:R141)-SUM(S$5:S141)+SUM(BS$5:BS141)</f>
        <v>400008.10112541047</v>
      </c>
      <c r="BP142" s="10">
        <f t="shared" si="154"/>
        <v>-826.2802218953423</v>
      </c>
      <c r="BQ142" s="10">
        <f t="shared" si="155"/>
        <v>-1316.6933328711427</v>
      </c>
      <c r="BR142" s="10">
        <f>IF(U142&lt;0,PMT(BN142/12,Podsumowanie!E$8-SUM(AB$5:AB142)+1,BO142),0)</f>
        <v>-2142.973554766485</v>
      </c>
      <c r="BS142" s="10">
        <f t="shared" si="149"/>
        <v>-47.70899521585079</v>
      </c>
      <c r="BU142" s="11">
        <f>BU$5+SUM(BW$5:BW141)+SUM(R$5:R141)-SUM(S$5:S141)+SUM(BY$5,BY141)</f>
        <v>321925.6277034927</v>
      </c>
      <c r="BV142" s="10">
        <f t="shared" si="146"/>
        <v>-1059.6718578573302</v>
      </c>
      <c r="BW142" s="10">
        <f t="shared" si="147"/>
        <v>-1113.9295076245423</v>
      </c>
      <c r="BX142" s="10">
        <f t="shared" si="156"/>
        <v>-2173.6013654818726</v>
      </c>
      <c r="BY142" s="10">
        <f t="shared" si="157"/>
        <v>-17.081184500463223</v>
      </c>
      <c r="CA142" s="10">
        <f>CA$5+SUM(CB$5:CB141)+SUM(R$5:R141)-SUM(S$5:S141)-SUM(CC$5:CC141)</f>
        <v>385791.78249807097</v>
      </c>
      <c r="CB142" s="10">
        <f t="shared" si="150"/>
        <v>1059.6718578573302</v>
      </c>
      <c r="CC142" s="10">
        <f t="shared" si="151"/>
        <v>2190.682549982336</v>
      </c>
      <c r="CD142" s="10">
        <f t="shared" si="152"/>
        <v>1131.0106921250056</v>
      </c>
      <c r="CF142" s="44">
        <f t="shared" si="148"/>
        <v>0.4539</v>
      </c>
      <c r="CG142" s="10">
        <f t="shared" si="153"/>
        <v>-994.35</v>
      </c>
      <c r="CH142" s="4">
        <f t="shared" si="158"/>
        <v>0</v>
      </c>
    </row>
    <row r="143" spans="1:86" ht="15.75">
      <c r="A143" s="36"/>
      <c r="B143" s="37">
        <v>41456</v>
      </c>
      <c r="C143" s="77">
        <f t="shared" si="142"/>
        <v>3.4582</v>
      </c>
      <c r="D143" s="78">
        <f>C143*(1+Podsumowanie!E$11)</f>
        <v>3.5619460000000003</v>
      </c>
      <c r="E143" s="34">
        <f t="shared" si="115"/>
        <v>-611.6107152030977</v>
      </c>
      <c r="F143" s="7">
        <f t="shared" si="136"/>
        <v>-2178.5243405748133</v>
      </c>
      <c r="G143" s="7">
        <f t="shared" si="116"/>
        <v>-1348.960030901939</v>
      </c>
      <c r="H143" s="7">
        <f t="shared" si="137"/>
        <v>829.5643096728743</v>
      </c>
      <c r="I143" s="32"/>
      <c r="J143" s="4" t="str">
        <f t="shared" si="159"/>
        <v xml:space="preserve"> </v>
      </c>
      <c r="K143" s="4">
        <f>IF(B143&lt;Podsumowanie!E$7,0,K142+1)</f>
        <v>73</v>
      </c>
      <c r="L143" s="100">
        <f t="shared" si="143"/>
        <v>0.0001</v>
      </c>
      <c r="M143" s="38">
        <f>L143+Podsumowanie!E$6</f>
        <v>0.0121</v>
      </c>
      <c r="N143" s="101">
        <f>MAX(Podsumowanie!E$4+SUM(AA$5:AA142)-SUM(X$5:X143)+SUM(W$5:W143),0)</f>
        <v>153264.45835348737</v>
      </c>
      <c r="O143" s="102">
        <f>MAX(Podsumowanie!E$2+SUM(V$5:V142)-SUM(S$5:S143)+SUM(R$5:R143),0)</f>
        <v>338037.9436420347</v>
      </c>
      <c r="P143" s="39">
        <f t="shared" si="131"/>
        <v>360</v>
      </c>
      <c r="Q143" s="40" t="str">
        <f>IF(AND(K143&gt;0,K143&lt;=Podsumowanie!E$9),"tak","nie")</f>
        <v>nie</v>
      </c>
      <c r="R143" s="41"/>
      <c r="S143" s="42"/>
      <c r="T143" s="88">
        <f t="shared" si="117"/>
        <v>-340.8549265057183</v>
      </c>
      <c r="U143" s="89">
        <f>IF(Q143="tak",T143,IF(P143-SUM(AB$5:AB143)+1&gt;0,IF(Podsumowanie!E$7&lt;B143,IF(SUM(AB$5:AB143)-Podsumowanie!E$9+1&gt;0,PMT(M143/12,P143+1-SUM(AB$5:AB143),O143),T143),0),0))</f>
        <v>-1348.960030901939</v>
      </c>
      <c r="V143" s="89">
        <f t="shared" si="141"/>
        <v>-1008.1051043962207</v>
      </c>
      <c r="W143" s="90" t="str">
        <f>IF(R143&gt;0,R143/(C143*(1-Podsumowanie!E$11))," ")</f>
        <v xml:space="preserve"> </v>
      </c>
      <c r="X143" s="90" t="str">
        <f t="shared" si="160"/>
        <v xml:space="preserve"> </v>
      </c>
      <c r="Y143" s="91">
        <f t="shared" si="109"/>
        <v>-154.54166217309975</v>
      </c>
      <c r="Z143" s="90">
        <f>IF(P143-SUM(AB$5:AB143)+1&gt;0,IF(Podsumowanie!E$7&lt;B143,IF(SUM(AB$5:AB143)-Podsumowanie!E$9+1&gt;0,PMT(M143/12,P143+1-SUM(AB$5:AB143),N143),Y143),0),0)</f>
        <v>-611.6107152030977</v>
      </c>
      <c r="AA143" s="90">
        <f t="shared" si="134"/>
        <v>-457.0690530299979</v>
      </c>
      <c r="AB143" s="8">
        <f>IF(AND(Podsumowanie!E$7&lt;B143,SUM(AB$5:AB142)&lt;P142),1," ")</f>
        <v>1</v>
      </c>
      <c r="AD143" s="10">
        <f>Podsumowanie!E$4-SUM(AF$5:AF142)+SUM(W$42:W143)-SUM(X$42:X143)</f>
        <v>145490.39813555224</v>
      </c>
      <c r="AE143" s="10">
        <f t="shared" si="118"/>
        <v>146.7</v>
      </c>
      <c r="AF143" s="10">
        <f t="shared" si="119"/>
        <v>505.17</v>
      </c>
      <c r="AG143" s="10">
        <f t="shared" si="132"/>
        <v>651.87</v>
      </c>
      <c r="AH143" s="10">
        <f t="shared" si="161"/>
        <v>2321.93</v>
      </c>
      <c r="AI143" s="10">
        <f>Podsumowanie!E$2-SUM(AK$5:AK142)+SUM(R$42:R143)-SUM(S$42:S143)</f>
        <v>320891.08999999997</v>
      </c>
      <c r="AJ143" s="10">
        <f t="shared" si="120"/>
        <v>323.57</v>
      </c>
      <c r="AK143" s="10">
        <f t="shared" si="121"/>
        <v>1114.21</v>
      </c>
      <c r="AL143" s="10">
        <f t="shared" si="122"/>
        <v>1437.78</v>
      </c>
      <c r="AM143" s="10">
        <f t="shared" si="123"/>
        <v>884.1499999999999</v>
      </c>
      <c r="AO143" s="43">
        <f t="shared" si="162"/>
        <v>41456</v>
      </c>
      <c r="AP143" s="11">
        <f>AP$5+SUM(AS$5:AS142)-SUM(X$5:X143)+SUM(W$5:W143)</f>
        <v>148666.52460288274</v>
      </c>
      <c r="AQ143" s="10">
        <f t="shared" si="124"/>
        <v>-149.90541230790674</v>
      </c>
      <c r="AR143" s="10">
        <f>IF(AB143=1,IF(Q143="tak",AQ143,PMT(M143/12,P143+1-SUM(AB$5:AB143),AP143)),0)</f>
        <v>-593.2623937470047</v>
      </c>
      <c r="AS143" s="10">
        <f t="shared" si="125"/>
        <v>-443.3569814390979</v>
      </c>
      <c r="AT143" s="10">
        <f t="shared" si="126"/>
        <v>-2051.6200100558917</v>
      </c>
      <c r="AV143" s="11">
        <f>AV$5+SUM(AX$5:AX142)+SUM(W$5:W142)-SUM(X$5:X142)</f>
        <v>141125.54719148562</v>
      </c>
      <c r="AW143" s="11">
        <f t="shared" si="127"/>
        <v>-149.90541230790674</v>
      </c>
      <c r="AX143" s="11">
        <f t="shared" si="128"/>
        <v>-490.02</v>
      </c>
      <c r="AY143" s="11">
        <f t="shared" si="133"/>
        <v>-639.9254123079068</v>
      </c>
      <c r="AZ143" s="11">
        <f t="shared" si="163"/>
        <v>-2212.990060843203</v>
      </c>
      <c r="BB143" s="191">
        <f t="shared" si="144"/>
        <v>0.027</v>
      </c>
      <c r="BC143" s="44">
        <f>BB143+Podsumowanie!$E$6</f>
        <v>0.039</v>
      </c>
      <c r="BD143" s="11">
        <f>BD$5+SUM(BE$5:BE142)+SUM(R$5:R142)-SUM(S$5:S142)</f>
        <v>365350.75863055536</v>
      </c>
      <c r="BE143" s="10">
        <f t="shared" si="135"/>
        <v>-764.0030054385691</v>
      </c>
      <c r="BF143" s="10">
        <f t="shared" si="130"/>
        <v>-1187.3899655493049</v>
      </c>
      <c r="BG143" s="10">
        <f>IF(U143&lt;0,PMT(BC143/12,Podsumowanie!E$8-SUM(AB$5:AB143)+1,BD143),0)</f>
        <v>-1951.392970987874</v>
      </c>
      <c r="BI143" s="11">
        <f>BI$5+SUM(BK$5:BK142)+SUM(R$5:R142)-SUM(S$5:S142)</f>
        <v>320891.3649025069</v>
      </c>
      <c r="BJ143" s="11">
        <f t="shared" si="138"/>
        <v>-1042.8969359331475</v>
      </c>
      <c r="BK143" s="11">
        <f t="shared" si="139"/>
        <v>-1114.2061281337044</v>
      </c>
      <c r="BL143" s="11">
        <f t="shared" si="140"/>
        <v>-2157.103064066852</v>
      </c>
      <c r="BN143" s="44">
        <f t="shared" si="145"/>
        <v>0.039099999999999996</v>
      </c>
      <c r="BO143" s="11">
        <f>BO$5+SUM(BP$5:BP142)+SUM(R$5:R142)-SUM(S$5:S142)+SUM(BS$5:BS142)</f>
        <v>399134.11190829927</v>
      </c>
      <c r="BP143" s="10">
        <f t="shared" si="154"/>
        <v>-833.496997715356</v>
      </c>
      <c r="BQ143" s="10">
        <f t="shared" si="155"/>
        <v>-1300.5119813012084</v>
      </c>
      <c r="BR143" s="10">
        <f>IF(U143&lt;0,PMT(BN143/12,Podsumowanie!E$8-SUM(AB$5:AB143)+1,BO143),0)</f>
        <v>-2134.0089790165644</v>
      </c>
      <c r="BS143" s="10">
        <f t="shared" si="149"/>
        <v>-44.51536155824897</v>
      </c>
      <c r="BU143" s="11">
        <f>BU$5+SUM(BW$5:BW142)+SUM(R$5:R142)-SUM(S$5:S142)+SUM(BY$5,BY142)</f>
        <v>320704.3464954028</v>
      </c>
      <c r="BV143" s="10">
        <f t="shared" si="146"/>
        <v>-1044.961662330854</v>
      </c>
      <c r="BW143" s="10">
        <f t="shared" si="147"/>
        <v>-1113.556758664593</v>
      </c>
      <c r="BX143" s="10">
        <f t="shared" si="156"/>
        <v>-2158.518420995447</v>
      </c>
      <c r="BY143" s="10">
        <f t="shared" si="157"/>
        <v>-20.00591957936649</v>
      </c>
      <c r="CA143" s="10">
        <f>CA$5+SUM(CB$5:CB142)+SUM(R$5:R142)-SUM(S$5:S142)-SUM(CC$5:CC142)</f>
        <v>384660.771805946</v>
      </c>
      <c r="CB143" s="10">
        <f t="shared" si="150"/>
        <v>1044.961662330854</v>
      </c>
      <c r="CC143" s="10">
        <f t="shared" si="151"/>
        <v>2178.5243405748133</v>
      </c>
      <c r="CD143" s="10">
        <f t="shared" si="152"/>
        <v>1133.5626782439592</v>
      </c>
      <c r="CF143" s="44">
        <f t="shared" si="148"/>
        <v>0.4495</v>
      </c>
      <c r="CG143" s="10">
        <f t="shared" si="153"/>
        <v>-979.25</v>
      </c>
      <c r="CH143" s="4">
        <f t="shared" si="158"/>
        <v>0</v>
      </c>
    </row>
    <row r="144" spans="1:86" ht="15.75">
      <c r="A144" s="36"/>
      <c r="B144" s="37">
        <v>41487</v>
      </c>
      <c r="C144" s="77">
        <f t="shared" si="142"/>
        <v>3.4276</v>
      </c>
      <c r="D144" s="78">
        <f>C144*(1+Podsumowanie!E$11)</f>
        <v>3.530428</v>
      </c>
      <c r="E144" s="34">
        <f t="shared" si="115"/>
        <v>-611.6107152030977</v>
      </c>
      <c r="F144" s="7">
        <f t="shared" si="136"/>
        <v>-2159.2475940530417</v>
      </c>
      <c r="G144" s="7">
        <f t="shared" si="116"/>
        <v>-1348.9600309019393</v>
      </c>
      <c r="H144" s="7">
        <f t="shared" si="137"/>
        <v>810.2875631511024</v>
      </c>
      <c r="I144" s="32"/>
      <c r="J144" s="4" t="str">
        <f t="shared" si="159"/>
        <v xml:space="preserve"> </v>
      </c>
      <c r="K144" s="4">
        <f>IF(B144&lt;Podsumowanie!E$7,0,K143+1)</f>
        <v>74</v>
      </c>
      <c r="L144" s="100">
        <f t="shared" si="143"/>
        <v>0.0001</v>
      </c>
      <c r="M144" s="38">
        <f>L144+Podsumowanie!E$6</f>
        <v>0.0121</v>
      </c>
      <c r="N144" s="101">
        <f>MAX(Podsumowanie!E$4+SUM(AA$5:AA143)-SUM(X$5:X144)+SUM(W$5:W144),0)</f>
        <v>152807.38930045735</v>
      </c>
      <c r="O144" s="102">
        <f>MAX(Podsumowanie!E$2+SUM(V$5:V143)-SUM(S$5:S144)+SUM(R$5:R144),0)</f>
        <v>337029.8385376385</v>
      </c>
      <c r="P144" s="39">
        <f t="shared" si="131"/>
        <v>360</v>
      </c>
      <c r="Q144" s="40" t="str">
        <f>IF(AND(K144&gt;0,K144&lt;=Podsumowanie!E$9),"tak","nie")</f>
        <v>nie</v>
      </c>
      <c r="R144" s="41"/>
      <c r="S144" s="42"/>
      <c r="T144" s="88">
        <f t="shared" si="117"/>
        <v>-339.83842052545214</v>
      </c>
      <c r="U144" s="89">
        <f>IF(Q144="tak",T144,IF(P144-SUM(AB$5:AB144)+1&gt;0,IF(Podsumowanie!E$7&lt;B144,IF(SUM(AB$5:AB144)-Podsumowanie!E$9+1&gt;0,PMT(M144/12,P144+1-SUM(AB$5:AB144),O144),T144),0),0))</f>
        <v>-1348.9600309019393</v>
      </c>
      <c r="V144" s="89">
        <f t="shared" si="141"/>
        <v>-1009.1216103764871</v>
      </c>
      <c r="W144" s="90" t="str">
        <f>IF(R144&gt;0,R144/(C144*(1-Podsumowanie!E$11))," ")</f>
        <v xml:space="preserve"> </v>
      </c>
      <c r="X144" s="90" t="str">
        <f t="shared" si="160"/>
        <v xml:space="preserve"> </v>
      </c>
      <c r="Y144" s="91">
        <f t="shared" si="109"/>
        <v>-154.08078421129449</v>
      </c>
      <c r="Z144" s="90">
        <f>IF(P144-SUM(AB$5:AB144)+1&gt;0,IF(Podsumowanie!E$7&lt;B144,IF(SUM(AB$5:AB144)-Podsumowanie!E$9+1&gt;0,PMT(M144/12,P144+1-SUM(AB$5:AB144),N144),Y144),0),0)</f>
        <v>-611.6107152030977</v>
      </c>
      <c r="AA144" s="90">
        <f t="shared" si="134"/>
        <v>-457.5299309918032</v>
      </c>
      <c r="AB144" s="8">
        <f>IF(AND(Podsumowanie!E$7&lt;B144,SUM(AB$5:AB143)&lt;P143),1," ")</f>
        <v>1</v>
      </c>
      <c r="AD144" s="10">
        <f>Podsumowanie!E$4-SUM(AF$5:AF143)+SUM(W$42:W144)-SUM(X$42:X144)</f>
        <v>144985.22813555223</v>
      </c>
      <c r="AE144" s="10">
        <f t="shared" si="118"/>
        <v>146.19</v>
      </c>
      <c r="AF144" s="10">
        <f t="shared" si="119"/>
        <v>505.18</v>
      </c>
      <c r="AG144" s="10">
        <f t="shared" si="132"/>
        <v>651.37</v>
      </c>
      <c r="AH144" s="10">
        <f t="shared" si="161"/>
        <v>2299.61</v>
      </c>
      <c r="AI144" s="10">
        <f>Podsumowanie!E$2-SUM(AK$5:AK143)+SUM(R$42:R144)-SUM(S$42:S144)</f>
        <v>319776.87999999995</v>
      </c>
      <c r="AJ144" s="10">
        <f t="shared" si="120"/>
        <v>322.44</v>
      </c>
      <c r="AK144" s="10">
        <f t="shared" si="121"/>
        <v>1114.21</v>
      </c>
      <c r="AL144" s="10">
        <f t="shared" si="122"/>
        <v>1436.65</v>
      </c>
      <c r="AM144" s="10">
        <f t="shared" si="123"/>
        <v>862.96</v>
      </c>
      <c r="AO144" s="43">
        <f t="shared" si="162"/>
        <v>41487</v>
      </c>
      <c r="AP144" s="11">
        <f>AP$5+SUM(AS$5:AS143)-SUM(X$5:X144)+SUM(W$5:W144)</f>
        <v>148223.16762144363</v>
      </c>
      <c r="AQ144" s="10">
        <f t="shared" si="124"/>
        <v>-149.45836068495566</v>
      </c>
      <c r="AR144" s="10">
        <f>IF(AB144=1,IF(Q144="tak",AQ144,PMT(M144/12,P144+1-SUM(AB$5:AB144),AP144)),0)</f>
        <v>-593.2623937470048</v>
      </c>
      <c r="AS144" s="10">
        <f t="shared" si="125"/>
        <v>-443.80403306204914</v>
      </c>
      <c r="AT144" s="10">
        <f t="shared" si="126"/>
        <v>-2033.4661808072337</v>
      </c>
      <c r="AV144" s="11">
        <f>AV$5+SUM(AX$5:AX143)+SUM(W$5:W143)-SUM(X$5:X143)</f>
        <v>140635.52719148563</v>
      </c>
      <c r="AW144" s="11">
        <f t="shared" si="127"/>
        <v>-149.45836068495566</v>
      </c>
      <c r="AX144" s="11">
        <f t="shared" si="128"/>
        <v>-490.02</v>
      </c>
      <c r="AY144" s="11">
        <f t="shared" si="133"/>
        <v>-639.4783606849556</v>
      </c>
      <c r="AZ144" s="11">
        <f t="shared" si="163"/>
        <v>-2191.876029083754</v>
      </c>
      <c r="BB144" s="191">
        <f t="shared" si="144"/>
        <v>0.027</v>
      </c>
      <c r="BC144" s="44">
        <f>BB144+Podsumowanie!$E$6</f>
        <v>0.039</v>
      </c>
      <c r="BD144" s="11">
        <f>BD$5+SUM(BE$5:BE143)+SUM(R$5:R143)-SUM(S$5:S143)</f>
        <v>364586.75562511676</v>
      </c>
      <c r="BE144" s="10">
        <f t="shared" si="135"/>
        <v>-766.4860152062436</v>
      </c>
      <c r="BF144" s="10">
        <f t="shared" si="130"/>
        <v>-1184.9069557816294</v>
      </c>
      <c r="BG144" s="10">
        <f>IF(U144&lt;0,PMT(BC144/12,Podsumowanie!E$8-SUM(AB$5:AB144)+1,BD144),0)</f>
        <v>-1951.392970987873</v>
      </c>
      <c r="BI144" s="11">
        <f>BI$5+SUM(BK$5:BK143)+SUM(R$5:R143)-SUM(S$5:S143)</f>
        <v>319777.1587743732</v>
      </c>
      <c r="BJ144" s="11">
        <f t="shared" si="138"/>
        <v>-1039.2757660167129</v>
      </c>
      <c r="BK144" s="11">
        <f t="shared" si="139"/>
        <v>-1114.2061281337044</v>
      </c>
      <c r="BL144" s="11">
        <f t="shared" si="140"/>
        <v>-2153.4818941504172</v>
      </c>
      <c r="BN144" s="44">
        <f t="shared" si="145"/>
        <v>0.039099999999999996</v>
      </c>
      <c r="BO144" s="11">
        <f>BO$5+SUM(BP$5:BP143)+SUM(R$5:R143)-SUM(S$5:S143)+SUM(BS$5:BS143)</f>
        <v>398256.0995490257</v>
      </c>
      <c r="BP144" s="10">
        <f t="shared" si="154"/>
        <v>-836.1193509252873</v>
      </c>
      <c r="BQ144" s="10">
        <f t="shared" si="155"/>
        <v>-1297.6511243639086</v>
      </c>
      <c r="BR144" s="10">
        <f>IF(U144&lt;0,PMT(BN144/12,Podsumowanie!E$8-SUM(AB$5:AB144)+1,BO144),0)</f>
        <v>-2133.770475289196</v>
      </c>
      <c r="BS144" s="10">
        <f t="shared" si="149"/>
        <v>-25.477118763845738</v>
      </c>
      <c r="BU144" s="11">
        <f>BU$5+SUM(BW$5:BW143)+SUM(R$5:R143)-SUM(S$5:S143)+SUM(BY$5,BY143)</f>
        <v>319587.8650016593</v>
      </c>
      <c r="BV144" s="10">
        <f t="shared" si="146"/>
        <v>-1041.3237934637398</v>
      </c>
      <c r="BW144" s="10">
        <f t="shared" si="147"/>
        <v>-1113.5465679500326</v>
      </c>
      <c r="BX144" s="10">
        <f t="shared" si="156"/>
        <v>-2154.870361413772</v>
      </c>
      <c r="BY144" s="10">
        <f t="shared" si="157"/>
        <v>-4.37723263926955</v>
      </c>
      <c r="CA144" s="10">
        <f>CA$5+SUM(CB$5:CB143)+SUM(R$5:R143)-SUM(S$5:S143)-SUM(CC$5:CC143)</f>
        <v>383527.209127702</v>
      </c>
      <c r="CB144" s="10">
        <f t="shared" si="150"/>
        <v>1041.3237934637398</v>
      </c>
      <c r="CC144" s="10">
        <f t="shared" si="151"/>
        <v>2159.2475940530417</v>
      </c>
      <c r="CD144" s="10">
        <f t="shared" si="152"/>
        <v>1117.923800589302</v>
      </c>
      <c r="CF144" s="44">
        <f t="shared" si="148"/>
        <v>0.4539</v>
      </c>
      <c r="CG144" s="10">
        <f t="shared" si="153"/>
        <v>-980.08</v>
      </c>
      <c r="CH144" s="4">
        <f t="shared" si="158"/>
        <v>0</v>
      </c>
    </row>
    <row r="145" spans="1:86" ht="15.75">
      <c r="A145" s="36"/>
      <c r="B145" s="37">
        <v>41518</v>
      </c>
      <c r="C145" s="77">
        <f t="shared" si="142"/>
        <v>3.4349</v>
      </c>
      <c r="D145" s="78">
        <f>C145*(1+Podsumowanie!E$11)</f>
        <v>3.537947</v>
      </c>
      <c r="E145" s="34">
        <f t="shared" si="115"/>
        <v>-611.6107152030978</v>
      </c>
      <c r="F145" s="7">
        <f t="shared" si="136"/>
        <v>-2163.8462950206545</v>
      </c>
      <c r="G145" s="7">
        <f t="shared" si="116"/>
        <v>-1348.9600309019397</v>
      </c>
      <c r="H145" s="7">
        <f t="shared" si="137"/>
        <v>814.8862641187147</v>
      </c>
      <c r="I145" s="32"/>
      <c r="J145" s="4" t="str">
        <f t="shared" si="159"/>
        <v xml:space="preserve"> </v>
      </c>
      <c r="K145" s="4">
        <f>IF(B145&lt;Podsumowanie!E$7,0,K144+1)</f>
        <v>75</v>
      </c>
      <c r="L145" s="100">
        <f t="shared" si="143"/>
        <v>0.0001</v>
      </c>
      <c r="M145" s="38">
        <f>L145+Podsumowanie!E$6</f>
        <v>0.0121</v>
      </c>
      <c r="N145" s="101">
        <f>MAX(Podsumowanie!E$4+SUM(AA$5:AA144)-SUM(X$5:X145)+SUM(W$5:W145),0)</f>
        <v>152349.85936946556</v>
      </c>
      <c r="O145" s="102">
        <f>MAX(Podsumowanie!E$2+SUM(V$5:V144)-SUM(S$5:S145)+SUM(R$5:R145),0)</f>
        <v>336020.716927262</v>
      </c>
      <c r="P145" s="39">
        <f t="shared" si="131"/>
        <v>360</v>
      </c>
      <c r="Q145" s="40" t="str">
        <f>IF(AND(K145&gt;0,K145&lt;=Podsumowanie!E$9),"tak","nie")</f>
        <v>nie</v>
      </c>
      <c r="R145" s="41"/>
      <c r="S145" s="42"/>
      <c r="T145" s="88">
        <f t="shared" si="117"/>
        <v>-338.8208895683225</v>
      </c>
      <c r="U145" s="89">
        <f>IF(Q145="tak",T145,IF(P145-SUM(AB$5:AB145)+1&gt;0,IF(Podsumowanie!E$7&lt;B145,IF(SUM(AB$5:AB145)-Podsumowanie!E$9+1&gt;0,PMT(M145/12,P145+1-SUM(AB$5:AB145),O145),T145),0),0))</f>
        <v>-1348.9600309019397</v>
      </c>
      <c r="V145" s="89">
        <f t="shared" si="141"/>
        <v>-1010.1391413336172</v>
      </c>
      <c r="W145" s="90" t="str">
        <f>IF(R145&gt;0,R145/(C145*(1-Podsumowanie!E$11))," ")</f>
        <v xml:space="preserve"> </v>
      </c>
      <c r="X145" s="90" t="str">
        <f t="shared" si="160"/>
        <v xml:space="preserve"> </v>
      </c>
      <c r="Y145" s="91">
        <f t="shared" si="109"/>
        <v>-153.61944153087776</v>
      </c>
      <c r="Z145" s="90">
        <f>IF(P145-SUM(AB$5:AB145)+1&gt;0,IF(Podsumowanie!E$7&lt;B145,IF(SUM(AB$5:AB145)-Podsumowanie!E$9+1&gt;0,PMT(M145/12,P145+1-SUM(AB$5:AB145),N145),Y145),0),0)</f>
        <v>-611.6107152030978</v>
      </c>
      <c r="AA145" s="90">
        <f t="shared" si="134"/>
        <v>-457.99127367222</v>
      </c>
      <c r="AB145" s="8">
        <f>IF(AND(Podsumowanie!E$7&lt;B145,SUM(AB$5:AB144)&lt;P144),1," ")</f>
        <v>1</v>
      </c>
      <c r="AD145" s="10">
        <f>Podsumowanie!E$4-SUM(AF$5:AF144)+SUM(W$42:W145)-SUM(X$42:X145)</f>
        <v>144480.04813555224</v>
      </c>
      <c r="AE145" s="10">
        <f t="shared" si="118"/>
        <v>145.68</v>
      </c>
      <c r="AF145" s="10">
        <f t="shared" si="119"/>
        <v>505.17</v>
      </c>
      <c r="AG145" s="10">
        <f t="shared" si="132"/>
        <v>650.85</v>
      </c>
      <c r="AH145" s="10">
        <f t="shared" si="161"/>
        <v>2302.67</v>
      </c>
      <c r="AI145" s="10">
        <f>Podsumowanie!E$2-SUM(AK$5:AK144)+SUM(R$42:R145)-SUM(S$42:S145)</f>
        <v>318662.6699999999</v>
      </c>
      <c r="AJ145" s="10">
        <f t="shared" si="120"/>
        <v>321.32</v>
      </c>
      <c r="AK145" s="10">
        <f t="shared" si="121"/>
        <v>1114.21</v>
      </c>
      <c r="AL145" s="10">
        <f t="shared" si="122"/>
        <v>1435.53</v>
      </c>
      <c r="AM145" s="10">
        <f t="shared" si="123"/>
        <v>867.1400000000001</v>
      </c>
      <c r="AO145" s="43">
        <f t="shared" si="162"/>
        <v>41518</v>
      </c>
      <c r="AP145" s="11">
        <f>AP$5+SUM(AS$5:AS144)-SUM(X$5:X145)+SUM(W$5:W145)</f>
        <v>147779.3635883816</v>
      </c>
      <c r="AQ145" s="10">
        <f t="shared" si="124"/>
        <v>-149.01085828495144</v>
      </c>
      <c r="AR145" s="10">
        <f>IF(AB145=1,IF(Q145="tak",AQ145,PMT(M145/12,P145+1-SUM(AB$5:AB145),AP145)),0)</f>
        <v>-593.2623937470048</v>
      </c>
      <c r="AS145" s="10">
        <f t="shared" si="125"/>
        <v>-444.25153546205337</v>
      </c>
      <c r="AT145" s="10">
        <f t="shared" si="126"/>
        <v>-2037.7969962815866</v>
      </c>
      <c r="AV145" s="11">
        <f>AV$5+SUM(AX$5:AX144)+SUM(W$5:W144)-SUM(X$5:X144)</f>
        <v>140145.5071914856</v>
      </c>
      <c r="AW145" s="11">
        <f t="shared" si="127"/>
        <v>-149.01085828495144</v>
      </c>
      <c r="AX145" s="11">
        <f t="shared" si="128"/>
        <v>-490.02</v>
      </c>
      <c r="AY145" s="11">
        <f t="shared" si="133"/>
        <v>-639.0308582849514</v>
      </c>
      <c r="AZ145" s="11">
        <f t="shared" si="163"/>
        <v>-2195.0070951229795</v>
      </c>
      <c r="BB145" s="191">
        <f t="shared" si="144"/>
        <v>0.0269</v>
      </c>
      <c r="BC145" s="44">
        <f>BB145+Podsumowanie!$E$6</f>
        <v>0.038900000000000004</v>
      </c>
      <c r="BD145" s="11">
        <f>BD$5+SUM(BE$5:BE144)+SUM(R$5:R144)-SUM(S$5:S144)</f>
        <v>363820.2696099105</v>
      </c>
      <c r="BE145" s="10">
        <f t="shared" si="135"/>
        <v>-770.03128654689</v>
      </c>
      <c r="BF145" s="10">
        <f t="shared" si="130"/>
        <v>-1179.3840406521267</v>
      </c>
      <c r="BG145" s="10">
        <f>IF(U145&lt;0,PMT(BC145/12,Podsumowanie!E$8-SUM(AB$5:AB145)+1,BD145),0)</f>
        <v>-1949.4153271990167</v>
      </c>
      <c r="BI145" s="11">
        <f>BI$5+SUM(BK$5:BK144)+SUM(R$5:R144)-SUM(S$5:S144)</f>
        <v>318662.9526462394</v>
      </c>
      <c r="BJ145" s="11">
        <f t="shared" si="138"/>
        <v>-1032.9990714948929</v>
      </c>
      <c r="BK145" s="11">
        <f t="shared" si="139"/>
        <v>-1114.2061281337044</v>
      </c>
      <c r="BL145" s="11">
        <f t="shared" si="140"/>
        <v>-2147.2051996285973</v>
      </c>
      <c r="BN145" s="44">
        <f t="shared" si="145"/>
        <v>0.039</v>
      </c>
      <c r="BO145" s="11">
        <f>BO$5+SUM(BP$5:BP144)+SUM(R$5:R144)-SUM(S$5:S144)+SUM(BS$5:BS144)</f>
        <v>397394.5030793366</v>
      </c>
      <c r="BP145" s="10">
        <f t="shared" si="154"/>
        <v>-839.9402011808495</v>
      </c>
      <c r="BQ145" s="10">
        <f t="shared" si="155"/>
        <v>-1291.532135007844</v>
      </c>
      <c r="BR145" s="10">
        <f>IF(U145&lt;0,PMT(BN145/12,Podsumowanie!E$8-SUM(AB$5:AB145)+1,BO145),0)</f>
        <v>-2131.4723361886936</v>
      </c>
      <c r="BS145" s="10">
        <f t="shared" si="149"/>
        <v>-32.37395883196086</v>
      </c>
      <c r="BU145" s="11">
        <f>BU$5+SUM(BW$5:BW144)+SUM(R$5:R144)-SUM(S$5:S144)+SUM(BY$5,BY144)</f>
        <v>318489.9471206494</v>
      </c>
      <c r="BV145" s="10">
        <f t="shared" si="146"/>
        <v>-1035.0923281421105</v>
      </c>
      <c r="BW145" s="10">
        <f t="shared" si="147"/>
        <v>-1113.6012137085643</v>
      </c>
      <c r="BX145" s="10">
        <f t="shared" si="156"/>
        <v>-2148.6935418506746</v>
      </c>
      <c r="BY145" s="10">
        <f t="shared" si="157"/>
        <v>-15.15275316997986</v>
      </c>
      <c r="CA145" s="10">
        <f>CA$5+SUM(CB$5:CB144)+SUM(R$5:R144)-SUM(S$5:S144)-SUM(CC$5:CC144)</f>
        <v>382409.2853271127</v>
      </c>
      <c r="CB145" s="10">
        <f t="shared" si="150"/>
        <v>1035.0923281421105</v>
      </c>
      <c r="CC145" s="10">
        <f t="shared" si="151"/>
        <v>2163.8462950206545</v>
      </c>
      <c r="CD145" s="10">
        <f t="shared" si="152"/>
        <v>1128.753966878544</v>
      </c>
      <c r="CF145" s="44">
        <f t="shared" si="148"/>
        <v>0.4524</v>
      </c>
      <c r="CG145" s="10">
        <f t="shared" si="153"/>
        <v>-978.92</v>
      </c>
      <c r="CH145" s="4">
        <f t="shared" si="158"/>
        <v>0</v>
      </c>
    </row>
    <row r="146" spans="1:86" ht="15.75">
      <c r="A146" s="36"/>
      <c r="B146" s="37">
        <v>41548</v>
      </c>
      <c r="C146" s="77">
        <f t="shared" si="142"/>
        <v>3.4033</v>
      </c>
      <c r="D146" s="78">
        <f>C146*(1+Podsumowanie!E$11)</f>
        <v>3.505399</v>
      </c>
      <c r="E146" s="34">
        <f t="shared" si="115"/>
        <v>-611.6107152030976</v>
      </c>
      <c r="F146" s="7">
        <f t="shared" si="136"/>
        <v>-2143.939589462223</v>
      </c>
      <c r="G146" s="7">
        <f t="shared" si="116"/>
        <v>-1348.960030901939</v>
      </c>
      <c r="H146" s="7">
        <f t="shared" si="137"/>
        <v>794.979558560284</v>
      </c>
      <c r="I146" s="32"/>
      <c r="J146" s="4" t="str">
        <f t="shared" si="159"/>
        <v xml:space="preserve"> </v>
      </c>
      <c r="K146" s="4">
        <f>IF(B146&lt;Podsumowanie!E$7,0,K145+1)</f>
        <v>76</v>
      </c>
      <c r="L146" s="100">
        <f t="shared" si="143"/>
        <v>0.0001</v>
      </c>
      <c r="M146" s="38">
        <f>L146+Podsumowanie!E$6</f>
        <v>0.0121</v>
      </c>
      <c r="N146" s="101">
        <f>MAX(Podsumowanie!E$4+SUM(AA$5:AA145)-SUM(X$5:X146)+SUM(W$5:W146),0)</f>
        <v>151891.86809579332</v>
      </c>
      <c r="O146" s="102">
        <f>MAX(Podsumowanie!E$2+SUM(V$5:V145)-SUM(S$5:S146)+SUM(R$5:R146),0)</f>
        <v>335010.5777859284</v>
      </c>
      <c r="P146" s="39">
        <f t="shared" si="131"/>
        <v>360</v>
      </c>
      <c r="Q146" s="40" t="str">
        <f>IF(AND(K146&gt;0,K146&lt;=Podsumowanie!E$9),"tak","nie")</f>
        <v>nie</v>
      </c>
      <c r="R146" s="41"/>
      <c r="S146" s="42"/>
      <c r="T146" s="88">
        <f t="shared" si="117"/>
        <v>-337.8023326008111</v>
      </c>
      <c r="U146" s="89">
        <f>IF(Q146="tak",T146,IF(P146-SUM(AB$5:AB146)+1&gt;0,IF(Podsumowanie!E$7&lt;B146,IF(SUM(AB$5:AB146)-Podsumowanie!E$9+1&gt;0,PMT(M146/12,P146+1-SUM(AB$5:AB146),O146),T146),0),0))</f>
        <v>-1348.960030901939</v>
      </c>
      <c r="V146" s="89">
        <f t="shared" si="141"/>
        <v>-1011.157698301128</v>
      </c>
      <c r="W146" s="90" t="str">
        <f>IF(R146&gt;0,R146/(C146*(1-Podsumowanie!E$11))," ")</f>
        <v xml:space="preserve"> </v>
      </c>
      <c r="X146" s="90" t="str">
        <f t="shared" si="160"/>
        <v xml:space="preserve"> </v>
      </c>
      <c r="Y146" s="91">
        <f t="shared" si="109"/>
        <v>-153.15763366325828</v>
      </c>
      <c r="Z146" s="90">
        <f>IF(P146-SUM(AB$5:AB146)+1&gt;0,IF(Podsumowanie!E$7&lt;B146,IF(SUM(AB$5:AB146)-Podsumowanie!E$9+1&gt;0,PMT(M146/12,P146+1-SUM(AB$5:AB146),N146),Y146),0),0)</f>
        <v>-611.6107152030976</v>
      </c>
      <c r="AA146" s="90">
        <f t="shared" si="134"/>
        <v>-458.45308153983933</v>
      </c>
      <c r="AB146" s="8">
        <f>IF(AND(Podsumowanie!E$7&lt;B146,SUM(AB$5:AB145)&lt;P145),1," ")</f>
        <v>1</v>
      </c>
      <c r="AD146" s="10">
        <f>Podsumowanie!E$4-SUM(AF$5:AF145)+SUM(W$42:W146)-SUM(X$42:X146)</f>
        <v>143974.87813555222</v>
      </c>
      <c r="AE146" s="10">
        <f t="shared" si="118"/>
        <v>145.17</v>
      </c>
      <c r="AF146" s="10">
        <f t="shared" si="119"/>
        <v>505.18</v>
      </c>
      <c r="AG146" s="10">
        <f t="shared" si="132"/>
        <v>650.35</v>
      </c>
      <c r="AH146" s="10">
        <f t="shared" si="161"/>
        <v>2279.74</v>
      </c>
      <c r="AI146" s="10">
        <f>Podsumowanie!E$2-SUM(AK$5:AK145)+SUM(R$42:R146)-SUM(S$42:S146)</f>
        <v>317548.45999999996</v>
      </c>
      <c r="AJ146" s="10">
        <f t="shared" si="120"/>
        <v>320.19</v>
      </c>
      <c r="AK146" s="10">
        <f t="shared" si="121"/>
        <v>1114.21</v>
      </c>
      <c r="AL146" s="10">
        <f t="shared" si="122"/>
        <v>1434.4</v>
      </c>
      <c r="AM146" s="10">
        <f t="shared" si="123"/>
        <v>845.3399999999997</v>
      </c>
      <c r="AO146" s="43">
        <f t="shared" si="162"/>
        <v>41548</v>
      </c>
      <c r="AP146" s="11">
        <f>AP$5+SUM(AS$5:AS145)-SUM(X$5:X146)+SUM(W$5:W146)</f>
        <v>147335.11205291952</v>
      </c>
      <c r="AQ146" s="10">
        <f t="shared" si="124"/>
        <v>-148.5629046533605</v>
      </c>
      <c r="AR146" s="10">
        <f>IF(AB146=1,IF(Q146="tak",AQ146,PMT(M146/12,P146+1-SUM(AB$5:AB146),AP146)),0)</f>
        <v>-593.2623937470047</v>
      </c>
      <c r="AS146" s="10">
        <f t="shared" si="125"/>
        <v>-444.69948909364416</v>
      </c>
      <c r="AT146" s="10">
        <f t="shared" si="126"/>
        <v>-2019.0499046391812</v>
      </c>
      <c r="AV146" s="11">
        <f>AV$5+SUM(AX$5:AX145)+SUM(W$5:W145)-SUM(X$5:X145)</f>
        <v>139655.48719148562</v>
      </c>
      <c r="AW146" s="11">
        <f t="shared" si="127"/>
        <v>-148.5629046533605</v>
      </c>
      <c r="AX146" s="11">
        <f t="shared" si="128"/>
        <v>-490.02</v>
      </c>
      <c r="AY146" s="11">
        <f t="shared" si="133"/>
        <v>-638.5829046533605</v>
      </c>
      <c r="AZ146" s="11">
        <f t="shared" si="163"/>
        <v>-2173.289199406782</v>
      </c>
      <c r="BB146" s="191">
        <f t="shared" si="144"/>
        <v>0.0267</v>
      </c>
      <c r="BC146" s="44">
        <f>BB146+Podsumowanie!$E$6</f>
        <v>0.0387</v>
      </c>
      <c r="BD146" s="11">
        <f>BD$5+SUM(BE$5:BE145)+SUM(R$5:R145)-SUM(S$5:S145)</f>
        <v>363050.2383233636</v>
      </c>
      <c r="BE146" s="10">
        <f t="shared" si="135"/>
        <v>-774.6376495021159</v>
      </c>
      <c r="BF146" s="10">
        <f t="shared" si="130"/>
        <v>-1170.8370185928475</v>
      </c>
      <c r="BG146" s="10">
        <f>IF(U146&lt;0,PMT(BC146/12,Podsumowanie!E$8-SUM(AB$5:AB146)+1,BD146),0)</f>
        <v>-1945.4746680949634</v>
      </c>
      <c r="BI146" s="11">
        <f>BI$5+SUM(BK$5:BK145)+SUM(R$5:R145)-SUM(S$5:S145)</f>
        <v>317548.74651810573</v>
      </c>
      <c r="BJ146" s="11">
        <f t="shared" si="138"/>
        <v>-1024.094707520891</v>
      </c>
      <c r="BK146" s="11">
        <f t="shared" si="139"/>
        <v>-1114.2061281337044</v>
      </c>
      <c r="BL146" s="11">
        <f t="shared" si="140"/>
        <v>-2138.300835654595</v>
      </c>
      <c r="BN146" s="44">
        <f t="shared" si="145"/>
        <v>0.0388</v>
      </c>
      <c r="BO146" s="11">
        <f>BO$5+SUM(BP$5:BP145)+SUM(R$5:R145)-SUM(S$5:S145)+SUM(BS$5:BS145)</f>
        <v>396522.18891932373</v>
      </c>
      <c r="BP146" s="10">
        <f t="shared" si="154"/>
        <v>-844.9035419786958</v>
      </c>
      <c r="BQ146" s="10">
        <f t="shared" si="155"/>
        <v>-1282.0884108391467</v>
      </c>
      <c r="BR146" s="10">
        <f>IF(U146&lt;0,PMT(BN146/12,Podsumowanie!E$8-SUM(AB$5:AB146)+1,BO146),0)</f>
        <v>-2126.9919528178425</v>
      </c>
      <c r="BS146" s="10">
        <f t="shared" si="149"/>
        <v>-16.94763664438051</v>
      </c>
      <c r="BU146" s="11">
        <f>BU$5+SUM(BW$5:BW145)+SUM(R$5:R145)-SUM(S$5:S145)+SUM(BY$5,BY145)</f>
        <v>317365.5703864101</v>
      </c>
      <c r="BV146" s="10">
        <f t="shared" si="146"/>
        <v>-1026.1486775827261</v>
      </c>
      <c r="BW146" s="10">
        <f t="shared" si="147"/>
        <v>-1113.5634048645968</v>
      </c>
      <c r="BX146" s="10">
        <f t="shared" si="156"/>
        <v>-2139.712082447323</v>
      </c>
      <c r="BY146" s="10">
        <f t="shared" si="157"/>
        <v>-4.227507014899857</v>
      </c>
      <c r="CA146" s="10">
        <f>CA$5+SUM(CB$5:CB145)+SUM(R$5:R145)-SUM(S$5:S145)-SUM(CC$5:CC145)</f>
        <v>381280.5313602342</v>
      </c>
      <c r="CB146" s="10">
        <f t="shared" si="150"/>
        <v>1026.1486775827261</v>
      </c>
      <c r="CC146" s="10">
        <f t="shared" si="151"/>
        <v>2143.939589462223</v>
      </c>
      <c r="CD146" s="10">
        <f t="shared" si="152"/>
        <v>1117.790911879497</v>
      </c>
      <c r="CF146" s="44">
        <f t="shared" si="148"/>
        <v>0.4495</v>
      </c>
      <c r="CG146" s="10">
        <f t="shared" si="153"/>
        <v>-963.7</v>
      </c>
      <c r="CH146" s="4">
        <f t="shared" si="158"/>
        <v>0</v>
      </c>
    </row>
    <row r="147" spans="1:86" ht="15.75">
      <c r="A147" s="36"/>
      <c r="B147" s="37">
        <v>41579</v>
      </c>
      <c r="C147" s="77">
        <f t="shared" si="142"/>
        <v>3.3996</v>
      </c>
      <c r="D147" s="78">
        <f>C147*(1+Podsumowanie!E$11)</f>
        <v>3.501588</v>
      </c>
      <c r="E147" s="34">
        <f t="shared" si="115"/>
        <v>-611.6107152030978</v>
      </c>
      <c r="F147" s="7">
        <f t="shared" si="136"/>
        <v>-2141.608741026585</v>
      </c>
      <c r="G147" s="7">
        <f t="shared" si="116"/>
        <v>-1348.9600309019397</v>
      </c>
      <c r="H147" s="7">
        <f t="shared" si="137"/>
        <v>792.6487101246453</v>
      </c>
      <c r="I147" s="32"/>
      <c r="J147" s="4" t="str">
        <f t="shared" si="159"/>
        <v xml:space="preserve"> </v>
      </c>
      <c r="K147" s="4">
        <f>IF(B147&lt;Podsumowanie!E$7,0,K146+1)</f>
        <v>77</v>
      </c>
      <c r="L147" s="100">
        <f t="shared" si="143"/>
        <v>0.0001</v>
      </c>
      <c r="M147" s="38">
        <f>L147+Podsumowanie!E$6</f>
        <v>0.0121</v>
      </c>
      <c r="N147" s="101">
        <f>MAX(Podsumowanie!E$4+SUM(AA$5:AA146)-SUM(X$5:X147)+SUM(W$5:W147),0)</f>
        <v>151433.4150142535</v>
      </c>
      <c r="O147" s="102">
        <f>MAX(Podsumowanie!E$2+SUM(V$5:V146)-SUM(S$5:S147)+SUM(R$5:R147),0)</f>
        <v>333999.42008762725</v>
      </c>
      <c r="P147" s="39">
        <f t="shared" si="131"/>
        <v>360</v>
      </c>
      <c r="Q147" s="40" t="str">
        <f>IF(AND(K147&gt;0,K147&lt;=Podsumowanie!E$9),"tak","nie")</f>
        <v>nie</v>
      </c>
      <c r="R147" s="41"/>
      <c r="S147" s="42"/>
      <c r="T147" s="88">
        <f t="shared" si="117"/>
        <v>-336.7827485883575</v>
      </c>
      <c r="U147" s="89">
        <f>IF(Q147="tak",T147,IF(P147-SUM(AB$5:AB147)+1&gt;0,IF(Podsumowanie!E$7&lt;B147,IF(SUM(AB$5:AB147)-Podsumowanie!E$9+1&gt;0,PMT(M147/12,P147+1-SUM(AB$5:AB147),O147),T147),0),0))</f>
        <v>-1348.9600309019397</v>
      </c>
      <c r="V147" s="89">
        <f t="shared" si="141"/>
        <v>-1012.1772823135823</v>
      </c>
      <c r="W147" s="90" t="str">
        <f>IF(R147&gt;0,R147/(C147*(1-Podsumowanie!E$11))," ")</f>
        <v xml:space="preserve"> </v>
      </c>
      <c r="X147" s="90" t="str">
        <f t="shared" si="160"/>
        <v xml:space="preserve"> </v>
      </c>
      <c r="Y147" s="91">
        <f aca="true" t="shared" si="164" ref="Y147:Y181">IF(AB147=1,-N147*M147/12,0)</f>
        <v>-152.69536013937227</v>
      </c>
      <c r="Z147" s="90">
        <f>IF(P147-SUM(AB$5:AB147)+1&gt;0,IF(Podsumowanie!E$7&lt;B147,IF(SUM(AB$5:AB147)-Podsumowanie!E$9+1&gt;0,PMT(M147/12,P147+1-SUM(AB$5:AB147),N147),Y147),0),0)</f>
        <v>-611.6107152030978</v>
      </c>
      <c r="AA147" s="90">
        <f t="shared" si="134"/>
        <v>-458.91535506372554</v>
      </c>
      <c r="AB147" s="8">
        <f>IF(AND(Podsumowanie!E$7&lt;B147,SUM(AB$5:AB146)&lt;P146),1," ")</f>
        <v>1</v>
      </c>
      <c r="AD147" s="10">
        <f>Podsumowanie!E$4-SUM(AF$5:AF146)+SUM(W$42:W147)-SUM(X$42:X147)</f>
        <v>143469.69813555223</v>
      </c>
      <c r="AE147" s="10">
        <f t="shared" si="118"/>
        <v>144.67</v>
      </c>
      <c r="AF147" s="10">
        <f t="shared" si="119"/>
        <v>505.17</v>
      </c>
      <c r="AG147" s="10">
        <f t="shared" si="132"/>
        <v>649.84</v>
      </c>
      <c r="AH147" s="10">
        <f t="shared" si="161"/>
        <v>2275.47</v>
      </c>
      <c r="AI147" s="10">
        <f>Podsumowanie!E$2-SUM(AK$5:AK146)+SUM(R$42:R147)-SUM(S$42:S147)</f>
        <v>316434.24999999994</v>
      </c>
      <c r="AJ147" s="10">
        <f t="shared" si="120"/>
        <v>319.07</v>
      </c>
      <c r="AK147" s="10">
        <f t="shared" si="121"/>
        <v>1114.21</v>
      </c>
      <c r="AL147" s="10">
        <f t="shared" si="122"/>
        <v>1433.28</v>
      </c>
      <c r="AM147" s="10">
        <f t="shared" si="123"/>
        <v>842.1899999999998</v>
      </c>
      <c r="AO147" s="43">
        <f t="shared" si="162"/>
        <v>41579</v>
      </c>
      <c r="AP147" s="11">
        <f>AP$5+SUM(AS$5:AS146)-SUM(X$5:X147)+SUM(W$5:W147)</f>
        <v>146890.4125638259</v>
      </c>
      <c r="AQ147" s="10">
        <f t="shared" si="124"/>
        <v>-148.1144993351911</v>
      </c>
      <c r="AR147" s="10">
        <f>IF(AB147=1,IF(Q147="tak",AQ147,PMT(M147/12,P147+1-SUM(AB$5:AB147),AP147)),0)</f>
        <v>-593.2623937470049</v>
      </c>
      <c r="AS147" s="10">
        <f t="shared" si="125"/>
        <v>-445.1478944118138</v>
      </c>
      <c r="AT147" s="10">
        <f t="shared" si="126"/>
        <v>-2016.8548337823179</v>
      </c>
      <c r="AV147" s="11">
        <f>AV$5+SUM(AX$5:AX146)+SUM(W$5:W146)-SUM(X$5:X146)</f>
        <v>139165.46719148563</v>
      </c>
      <c r="AW147" s="11">
        <f t="shared" si="127"/>
        <v>-148.1144993351911</v>
      </c>
      <c r="AX147" s="11">
        <f t="shared" si="128"/>
        <v>-490.02</v>
      </c>
      <c r="AY147" s="11">
        <f t="shared" si="133"/>
        <v>-638.1344993351911</v>
      </c>
      <c r="AZ147" s="11">
        <f t="shared" si="163"/>
        <v>-2169.4020439399155</v>
      </c>
      <c r="BB147" s="191">
        <f t="shared" si="144"/>
        <v>0.0265</v>
      </c>
      <c r="BC147" s="44">
        <f>BB147+Podsumowanie!$E$6</f>
        <v>0.0385</v>
      </c>
      <c r="BD147" s="11">
        <f>BD$5+SUM(BE$5:BE146)+SUM(R$5:R146)-SUM(S$5:S146)</f>
        <v>362275.6006738615</v>
      </c>
      <c r="BE147" s="10">
        <f t="shared" si="135"/>
        <v>-779.2488540402419</v>
      </c>
      <c r="BF147" s="10">
        <f t="shared" si="130"/>
        <v>-1162.3008854953057</v>
      </c>
      <c r="BG147" s="10">
        <f>IF(U147&lt;0,PMT(BC147/12,Podsumowanie!E$8-SUM(AB$5:AB147)+1,BD147),0)</f>
        <v>-1941.5497395355476</v>
      </c>
      <c r="BI147" s="11">
        <f>BI$5+SUM(BK$5:BK146)+SUM(R$5:R146)-SUM(S$5:S146)</f>
        <v>316434.54038997204</v>
      </c>
      <c r="BJ147" s="11">
        <f t="shared" si="138"/>
        <v>-1015.2274837511603</v>
      </c>
      <c r="BK147" s="11">
        <f t="shared" si="139"/>
        <v>-1114.2061281337044</v>
      </c>
      <c r="BL147" s="11">
        <f t="shared" si="140"/>
        <v>-2129.4336118848646</v>
      </c>
      <c r="BN147" s="44">
        <f t="shared" si="145"/>
        <v>0.038599999999999995</v>
      </c>
      <c r="BO147" s="11">
        <f>BO$5+SUM(BP$5:BP146)+SUM(R$5:R146)-SUM(S$5:S146)+SUM(BS$5:BS146)</f>
        <v>395660.3377407007</v>
      </c>
      <c r="BP147" s="10">
        <f t="shared" si="154"/>
        <v>-849.9044178537904</v>
      </c>
      <c r="BQ147" s="10">
        <f t="shared" si="155"/>
        <v>-1272.7074197325871</v>
      </c>
      <c r="BR147" s="10">
        <f>IF(U147&lt;0,PMT(BN147/12,Podsumowanie!E$8-SUM(AB$5:AB147)+1,BO147),0)</f>
        <v>-2122.6118375863775</v>
      </c>
      <c r="BS147" s="10">
        <f t="shared" si="149"/>
        <v>-18.99690344020746</v>
      </c>
      <c r="BU147" s="11">
        <f>BU$5+SUM(BW$5:BW146)+SUM(R$5:R146)-SUM(S$5:S146)+SUM(BY$5,BY146)</f>
        <v>316262.9322277006</v>
      </c>
      <c r="BV147" s="10">
        <f t="shared" si="146"/>
        <v>-1017.3124319991034</v>
      </c>
      <c r="BW147" s="10">
        <f t="shared" si="147"/>
        <v>-1113.6018740411994</v>
      </c>
      <c r="BX147" s="10">
        <f t="shared" si="156"/>
        <v>-2130.914306040303</v>
      </c>
      <c r="BY147" s="10">
        <f t="shared" si="157"/>
        <v>-10.694434986281976</v>
      </c>
      <c r="CA147" s="10">
        <f>CA$5+SUM(CB$5:CB146)+SUM(R$5:R146)-SUM(S$5:S146)-SUM(CC$5:CC146)</f>
        <v>380162.74044835474</v>
      </c>
      <c r="CB147" s="10">
        <f t="shared" si="150"/>
        <v>1017.3124319991034</v>
      </c>
      <c r="CC147" s="10">
        <f t="shared" si="151"/>
        <v>2141.608741026585</v>
      </c>
      <c r="CD147" s="10">
        <f t="shared" si="152"/>
        <v>1124.2963090274816</v>
      </c>
      <c r="CF147" s="44">
        <f t="shared" si="148"/>
        <v>0.4524</v>
      </c>
      <c r="CG147" s="10">
        <f t="shared" si="153"/>
        <v>-968.86</v>
      </c>
      <c r="CH147" s="4">
        <f t="shared" si="158"/>
        <v>0</v>
      </c>
    </row>
    <row r="148" spans="1:86" ht="15.75">
      <c r="A148" s="36"/>
      <c r="B148" s="37">
        <v>41609</v>
      </c>
      <c r="C148" s="77">
        <f t="shared" si="142"/>
        <v>3.4088</v>
      </c>
      <c r="D148" s="78">
        <f>C148*(1+Podsumowanie!E$11)</f>
        <v>3.5110639999999997</v>
      </c>
      <c r="E148" s="34">
        <f t="shared" si="115"/>
        <v>-611.6107152030976</v>
      </c>
      <c r="F148" s="7">
        <f t="shared" si="136"/>
        <v>-2147.4043641638486</v>
      </c>
      <c r="G148" s="7">
        <f t="shared" si="116"/>
        <v>-1348.9600309019388</v>
      </c>
      <c r="H148" s="7">
        <f t="shared" si="137"/>
        <v>798.4443332619098</v>
      </c>
      <c r="I148" s="32"/>
      <c r="J148" s="4" t="str">
        <f t="shared" si="159"/>
        <v xml:space="preserve"> </v>
      </c>
      <c r="K148" s="4">
        <f>IF(B148&lt;Podsumowanie!E$7,0,K147+1)</f>
        <v>78</v>
      </c>
      <c r="L148" s="100">
        <f t="shared" si="143"/>
        <v>0.0001</v>
      </c>
      <c r="M148" s="38">
        <f>L148+Podsumowanie!E$6</f>
        <v>0.0121</v>
      </c>
      <c r="N148" s="101">
        <f>MAX(Podsumowanie!E$4+SUM(AA$5:AA147)-SUM(X$5:X148)+SUM(W$5:W148),0)</f>
        <v>150974.49965918978</v>
      </c>
      <c r="O148" s="102">
        <f>MAX(Podsumowanie!E$2+SUM(V$5:V147)-SUM(S$5:S148)+SUM(R$5:R148),0)</f>
        <v>332987.24280531367</v>
      </c>
      <c r="P148" s="39">
        <f t="shared" si="131"/>
        <v>360</v>
      </c>
      <c r="Q148" s="40" t="str">
        <f>IF(AND(K148&gt;0,K148&lt;=Podsumowanie!E$9),"tak","nie")</f>
        <v>nie</v>
      </c>
      <c r="R148" s="41"/>
      <c r="S148" s="42"/>
      <c r="T148" s="88">
        <f t="shared" si="117"/>
        <v>-335.76213649535794</v>
      </c>
      <c r="U148" s="89">
        <f>IF(Q148="tak",T148,IF(P148-SUM(AB$5:AB148)+1&gt;0,IF(Podsumowanie!E$7&lt;B148,IF(SUM(AB$5:AB148)-Podsumowanie!E$9+1&gt;0,PMT(M148/12,P148+1-SUM(AB$5:AB148),O148),T148),0),0))</f>
        <v>-1348.9600309019388</v>
      </c>
      <c r="V148" s="89">
        <f t="shared" si="141"/>
        <v>-1013.1978944065809</v>
      </c>
      <c r="W148" s="90" t="str">
        <f>IF(R148&gt;0,R148/(C148*(1-Podsumowanie!E$11))," ")</f>
        <v xml:space="preserve"> </v>
      </c>
      <c r="X148" s="90" t="str">
        <f t="shared" si="160"/>
        <v xml:space="preserve"> </v>
      </c>
      <c r="Y148" s="91">
        <f t="shared" si="164"/>
        <v>-152.23262048968303</v>
      </c>
      <c r="Z148" s="90">
        <f>IF(P148-SUM(AB$5:AB148)+1&gt;0,IF(Podsumowanie!E$7&lt;B148,IF(SUM(AB$5:AB148)-Podsumowanie!E$9+1&gt;0,PMT(M148/12,P148+1-SUM(AB$5:AB148),N148),Y148),0),0)</f>
        <v>-611.6107152030976</v>
      </c>
      <c r="AA148" s="90">
        <f t="shared" si="134"/>
        <v>-459.37809471341455</v>
      </c>
      <c r="AB148" s="8">
        <f>IF(AND(Podsumowanie!E$7&lt;B148,SUM(AB$5:AB147)&lt;P147),1," ")</f>
        <v>1</v>
      </c>
      <c r="AD148" s="10">
        <f>Podsumowanie!E$4-SUM(AF$5:AF147)+SUM(W$42:W148)-SUM(X$42:X148)</f>
        <v>142964.52813555225</v>
      </c>
      <c r="AE148" s="10">
        <f t="shared" si="118"/>
        <v>144.16</v>
      </c>
      <c r="AF148" s="10">
        <f t="shared" si="119"/>
        <v>505.18</v>
      </c>
      <c r="AG148" s="10">
        <f t="shared" si="132"/>
        <v>649.34</v>
      </c>
      <c r="AH148" s="10">
        <f t="shared" si="161"/>
        <v>2279.87</v>
      </c>
      <c r="AI148" s="10">
        <f>Podsumowanie!E$2-SUM(AK$5:AK147)+SUM(R$42:R148)-SUM(S$42:S148)</f>
        <v>315320.0399999999</v>
      </c>
      <c r="AJ148" s="10">
        <f t="shared" si="120"/>
        <v>317.95</v>
      </c>
      <c r="AK148" s="10">
        <f t="shared" si="121"/>
        <v>1114.21</v>
      </c>
      <c r="AL148" s="10">
        <f t="shared" si="122"/>
        <v>1432.16</v>
      </c>
      <c r="AM148" s="10">
        <f t="shared" si="123"/>
        <v>847.7099999999998</v>
      </c>
      <c r="AO148" s="43">
        <f t="shared" si="162"/>
        <v>41609</v>
      </c>
      <c r="AP148" s="11">
        <f>AP$5+SUM(AS$5:AS147)-SUM(X$5:X148)+SUM(W$5:W148)</f>
        <v>146445.2646694141</v>
      </c>
      <c r="AQ148" s="10">
        <f t="shared" si="124"/>
        <v>-147.66564187499253</v>
      </c>
      <c r="AR148" s="10">
        <f>IF(AB148=1,IF(Q148="tak",AQ148,PMT(M148/12,P148+1-SUM(AB$5:AB148),AP148)),0)</f>
        <v>-593.2623937470047</v>
      </c>
      <c r="AS148" s="10">
        <f t="shared" si="125"/>
        <v>-445.5967518720122</v>
      </c>
      <c r="AT148" s="10">
        <f t="shared" si="126"/>
        <v>-2022.3128478047895</v>
      </c>
      <c r="AV148" s="11">
        <f>AV$5+SUM(AX$5:AX147)+SUM(W$5:W147)-SUM(X$5:X147)</f>
        <v>138675.44719148564</v>
      </c>
      <c r="AW148" s="11">
        <f t="shared" si="127"/>
        <v>-147.66564187499253</v>
      </c>
      <c r="AX148" s="11">
        <f t="shared" si="128"/>
        <v>-490.02</v>
      </c>
      <c r="AY148" s="11">
        <f t="shared" si="133"/>
        <v>-637.6856418749925</v>
      </c>
      <c r="AZ148" s="11">
        <f t="shared" si="163"/>
        <v>-2173.7428160234745</v>
      </c>
      <c r="BB148" s="191">
        <f t="shared" si="144"/>
        <v>0.0267</v>
      </c>
      <c r="BC148" s="44">
        <f>BB148+Podsumowanie!$E$6</f>
        <v>0.0387</v>
      </c>
      <c r="BD148" s="11">
        <f>BD$5+SUM(BE$5:BE147)+SUM(R$5:R147)-SUM(S$5:S147)</f>
        <v>361496.3518198213</v>
      </c>
      <c r="BE148" s="10">
        <f t="shared" si="135"/>
        <v>-779.6375619635351</v>
      </c>
      <c r="BF148" s="10">
        <f t="shared" si="130"/>
        <v>-1165.8257346189237</v>
      </c>
      <c r="BG148" s="10">
        <f>IF(U148&lt;0,PMT(BC148/12,Podsumowanie!E$8-SUM(AB$5:AB148)+1,BD148),0)</f>
        <v>-1945.4632965824587</v>
      </c>
      <c r="BI148" s="11">
        <f>BI$5+SUM(BK$5:BK147)+SUM(R$5:R147)-SUM(S$5:S147)</f>
        <v>315320.33426183835</v>
      </c>
      <c r="BJ148" s="11">
        <f t="shared" si="138"/>
        <v>-1016.9080779944287</v>
      </c>
      <c r="BK148" s="11">
        <f t="shared" si="139"/>
        <v>-1114.2061281337044</v>
      </c>
      <c r="BL148" s="11">
        <f t="shared" si="140"/>
        <v>-2131.114206128133</v>
      </c>
      <c r="BN148" s="44">
        <f t="shared" si="145"/>
        <v>0.0388</v>
      </c>
      <c r="BO148" s="11">
        <f>BO$5+SUM(BP$5:BP147)+SUM(R$5:R147)-SUM(S$5:S147)+SUM(BS$5:BS147)</f>
        <v>394791.4364194067</v>
      </c>
      <c r="BP148" s="10">
        <f t="shared" si="154"/>
        <v>-850.2937809550297</v>
      </c>
      <c r="BQ148" s="10">
        <f t="shared" si="155"/>
        <v>-1276.492311089415</v>
      </c>
      <c r="BR148" s="10">
        <f>IF(U148&lt;0,PMT(BN148/12,Podsumowanie!E$8-SUM(AB$5:AB148)+1,BO148),0)</f>
        <v>-2126.7860920444446</v>
      </c>
      <c r="BS148" s="10">
        <f t="shared" si="149"/>
        <v>-20.618272119404082</v>
      </c>
      <c r="BU148" s="11">
        <f>BU$5+SUM(BW$5:BW147)+SUM(R$5:R147)-SUM(S$5:S147)+SUM(BY$5,BY147)</f>
        <v>315142.86342568806</v>
      </c>
      <c r="BV148" s="10">
        <f t="shared" si="146"/>
        <v>-1018.9619250763914</v>
      </c>
      <c r="BW148" s="10">
        <f t="shared" si="147"/>
        <v>-1113.5790227056116</v>
      </c>
      <c r="BX148" s="10">
        <f t="shared" si="156"/>
        <v>-2132.540947782003</v>
      </c>
      <c r="BY148" s="10">
        <f t="shared" si="157"/>
        <v>-14.863416381845582</v>
      </c>
      <c r="CA148" s="10">
        <f>CA$5+SUM(CB$5:CB147)+SUM(R$5:R147)-SUM(S$5:S147)-SUM(CC$5:CC147)</f>
        <v>379038.4441393273</v>
      </c>
      <c r="CB148" s="10">
        <f t="shared" si="150"/>
        <v>1018.9619250763914</v>
      </c>
      <c r="CC148" s="10">
        <f t="shared" si="151"/>
        <v>2147.4043641638486</v>
      </c>
      <c r="CD148" s="10">
        <f t="shared" si="152"/>
        <v>1128.4424390874574</v>
      </c>
      <c r="CF148" s="44">
        <f t="shared" si="148"/>
        <v>0.451</v>
      </c>
      <c r="CG148" s="10">
        <f t="shared" si="153"/>
        <v>-968.48</v>
      </c>
      <c r="CH148" s="4">
        <f t="shared" si="158"/>
        <v>0</v>
      </c>
    </row>
    <row r="149" spans="1:86" ht="15.75">
      <c r="A149" s="36">
        <v>2014</v>
      </c>
      <c r="B149" s="37">
        <v>41640</v>
      </c>
      <c r="C149" s="77">
        <f t="shared" si="142"/>
        <v>3.3935</v>
      </c>
      <c r="D149" s="78">
        <f>C149*(1+Podsumowanie!E$11)</f>
        <v>3.495305</v>
      </c>
      <c r="E149" s="34">
        <f t="shared" si="115"/>
        <v>-611.6107152030977</v>
      </c>
      <c r="F149" s="7">
        <f t="shared" si="136"/>
        <v>-2137.7659909029635</v>
      </c>
      <c r="G149" s="7">
        <f t="shared" si="116"/>
        <v>-1348.9600309019393</v>
      </c>
      <c r="H149" s="7">
        <f t="shared" si="137"/>
        <v>788.8059600010242</v>
      </c>
      <c r="I149" s="32"/>
      <c r="J149" s="4" t="str">
        <f t="shared" si="159"/>
        <v xml:space="preserve"> </v>
      </c>
      <c r="K149" s="4">
        <f>IF(B149&lt;Podsumowanie!E$7,0,K148+1)</f>
        <v>79</v>
      </c>
      <c r="L149" s="100">
        <f t="shared" si="143"/>
        <v>0.0001</v>
      </c>
      <c r="M149" s="38">
        <f>L149+Podsumowanie!E$6</f>
        <v>0.0121</v>
      </c>
      <c r="N149" s="101">
        <f>MAX(Podsumowanie!E$4+SUM(AA$5:AA148)-SUM(X$5:X149)+SUM(W$5:W149),0)</f>
        <v>150515.12156447634</v>
      </c>
      <c r="O149" s="102">
        <f>MAX(Podsumowanie!E$2+SUM(V$5:V148)-SUM(S$5:S149)+SUM(R$5:R149),0)</f>
        <v>331974.0449109071</v>
      </c>
      <c r="P149" s="39">
        <f t="shared" si="131"/>
        <v>360</v>
      </c>
      <c r="Q149" s="40" t="str">
        <f>IF(AND(K149&gt;0,K149&lt;=Podsumowanie!E$9),"tak","nie")</f>
        <v>nie</v>
      </c>
      <c r="R149" s="41"/>
      <c r="S149" s="42"/>
      <c r="T149" s="88">
        <f t="shared" si="117"/>
        <v>-334.7404952851646</v>
      </c>
      <c r="U149" s="89">
        <f>IF(Q149="tak",T149,IF(P149-SUM(AB$5:AB149)+1&gt;0,IF(Podsumowanie!E$7&lt;B149,IF(SUM(AB$5:AB149)-Podsumowanie!E$9+1&gt;0,PMT(M149/12,P149+1-SUM(AB$5:AB149),O149),T149),0),0))</f>
        <v>-1348.9600309019393</v>
      </c>
      <c r="V149" s="89">
        <f t="shared" si="141"/>
        <v>-1014.2195356167747</v>
      </c>
      <c r="W149" s="90" t="str">
        <f>IF(R149&gt;0,R149/(C149*(1-Podsumowanie!E$11))," ")</f>
        <v xml:space="preserve"> </v>
      </c>
      <c r="X149" s="90" t="str">
        <f t="shared" si="160"/>
        <v xml:space="preserve"> </v>
      </c>
      <c r="Y149" s="91">
        <f t="shared" si="164"/>
        <v>-151.7694142441803</v>
      </c>
      <c r="Z149" s="90">
        <f>IF(P149-SUM(AB$5:AB149)+1&gt;0,IF(Podsumowanie!E$7&lt;B149,IF(SUM(AB$5:AB149)-Podsumowanie!E$9+1&gt;0,PMT(M149/12,P149+1-SUM(AB$5:AB149),N149),Y149),0),0)</f>
        <v>-611.6107152030977</v>
      </c>
      <c r="AA149" s="90">
        <f t="shared" si="134"/>
        <v>-459.8413009589174</v>
      </c>
      <c r="AB149" s="8">
        <f>IF(AND(Podsumowanie!E$7&lt;B149,SUM(AB$5:AB148)&lt;P148),1," ")</f>
        <v>1</v>
      </c>
      <c r="AD149" s="10">
        <f>Podsumowanie!E$4-SUM(AF$5:AF148)+SUM(W$42:W149)-SUM(X$42:X149)</f>
        <v>142459.34813555222</v>
      </c>
      <c r="AE149" s="10">
        <f t="shared" si="118"/>
        <v>143.65</v>
      </c>
      <c r="AF149" s="10">
        <f t="shared" si="119"/>
        <v>505.17</v>
      </c>
      <c r="AG149" s="10">
        <f t="shared" si="132"/>
        <v>648.82</v>
      </c>
      <c r="AH149" s="10">
        <f t="shared" si="161"/>
        <v>2267.82</v>
      </c>
      <c r="AI149" s="10">
        <f>Podsumowanie!E$2-SUM(AK$5:AK148)+SUM(R$42:R149)-SUM(S$42:S149)</f>
        <v>314205.82999999996</v>
      </c>
      <c r="AJ149" s="10">
        <f t="shared" si="120"/>
        <v>316.82</v>
      </c>
      <c r="AK149" s="10">
        <f t="shared" si="121"/>
        <v>1114.21</v>
      </c>
      <c r="AL149" s="10">
        <f t="shared" si="122"/>
        <v>1431.03</v>
      </c>
      <c r="AM149" s="10">
        <f t="shared" si="123"/>
        <v>836.7900000000002</v>
      </c>
      <c r="AO149" s="43">
        <f t="shared" si="162"/>
        <v>41640</v>
      </c>
      <c r="AP149" s="11">
        <f>AP$5+SUM(AS$5:AS148)-SUM(X$5:X149)+SUM(W$5:W149)</f>
        <v>145999.66791754204</v>
      </c>
      <c r="AQ149" s="10">
        <f t="shared" si="124"/>
        <v>-147.21633181685488</v>
      </c>
      <c r="AR149" s="10">
        <f>IF(AB149=1,IF(Q149="tak",AQ149,PMT(M149/12,P149+1-SUM(AB$5:AB149),AP149)),0)</f>
        <v>-593.2623937470047</v>
      </c>
      <c r="AS149" s="10">
        <f t="shared" si="125"/>
        <v>-446.0460619301498</v>
      </c>
      <c r="AT149" s="10">
        <f t="shared" si="126"/>
        <v>-2013.2359331804605</v>
      </c>
      <c r="AV149" s="11">
        <f>AV$5+SUM(AX$5:AX148)+SUM(W$5:W148)-SUM(X$5:X148)</f>
        <v>138185.42719148565</v>
      </c>
      <c r="AW149" s="11">
        <f t="shared" si="127"/>
        <v>-147.21633181685488</v>
      </c>
      <c r="AX149" s="11">
        <f t="shared" si="128"/>
        <v>-490.02</v>
      </c>
      <c r="AY149" s="11">
        <f t="shared" si="133"/>
        <v>-637.2363318168549</v>
      </c>
      <c r="AZ149" s="11">
        <f t="shared" si="163"/>
        <v>-2162.461492020497</v>
      </c>
      <c r="BB149" s="191">
        <f t="shared" si="144"/>
        <v>0.027</v>
      </c>
      <c r="BC149" s="44">
        <f>BB149+Podsumowanie!$E$6</f>
        <v>0.039</v>
      </c>
      <c r="BD149" s="11">
        <f>BD$5+SUM(BE$5:BE148)+SUM(R$5:R148)-SUM(S$5:S148)</f>
        <v>360716.7142578577</v>
      </c>
      <c r="BE149" s="10">
        <f t="shared" si="135"/>
        <v>-778.9953840169335</v>
      </c>
      <c r="BF149" s="10">
        <f t="shared" si="130"/>
        <v>-1172.3293213380375</v>
      </c>
      <c r="BG149" s="10">
        <f>IF(U149&lt;0,PMT(BC149/12,Podsumowanie!E$8-SUM(AB$5:AB149)+1,BD149),0)</f>
        <v>-1951.324705354971</v>
      </c>
      <c r="BI149" s="11">
        <f>BI$5+SUM(BK$5:BK148)+SUM(R$5:R148)-SUM(S$5:S148)</f>
        <v>314206.12813370465</v>
      </c>
      <c r="BJ149" s="11">
        <f t="shared" si="138"/>
        <v>-1021.1699164345401</v>
      </c>
      <c r="BK149" s="11">
        <f t="shared" si="139"/>
        <v>-1114.2061281337044</v>
      </c>
      <c r="BL149" s="11">
        <f t="shared" si="140"/>
        <v>-2135.3760445682447</v>
      </c>
      <c r="BN149" s="44">
        <f t="shared" si="145"/>
        <v>0.039099999999999996</v>
      </c>
      <c r="BO149" s="11">
        <f>BO$5+SUM(BP$5:BP148)+SUM(R$5:R148)-SUM(S$5:S148)+SUM(BS$5:BS148)</f>
        <v>393920.5243663322</v>
      </c>
      <c r="BP149" s="10">
        <f t="shared" si="154"/>
        <v>-849.5548973117757</v>
      </c>
      <c r="BQ149" s="10">
        <f t="shared" si="155"/>
        <v>-1283.5243752269657</v>
      </c>
      <c r="BR149" s="10">
        <f>IF(U149&lt;0,PMT(BN149/12,Podsumowanie!E$8-SUM(AB$5:AB149)+1,BO149),0)</f>
        <v>-2133.0792725387414</v>
      </c>
      <c r="BS149" s="10">
        <f t="shared" si="149"/>
        <v>-4.686718364222088</v>
      </c>
      <c r="BU149" s="11">
        <f>BU$5+SUM(BW$5:BW148)+SUM(R$5:R148)-SUM(S$5:S148)+SUM(BY$5,BY148)</f>
        <v>314025.11542158684</v>
      </c>
      <c r="BV149" s="10">
        <f t="shared" si="146"/>
        <v>-1023.1985010820036</v>
      </c>
      <c r="BW149" s="10">
        <f t="shared" si="147"/>
        <v>-1113.5642390836413</v>
      </c>
      <c r="BX149" s="10">
        <f t="shared" si="156"/>
        <v>-2136.762740165645</v>
      </c>
      <c r="BY149" s="10">
        <f t="shared" si="157"/>
        <v>-1.0032507373184671</v>
      </c>
      <c r="CA149" s="10">
        <f>CA$5+SUM(CB$5:CB148)+SUM(R$5:R148)-SUM(S$5:S148)-SUM(CC$5:CC148)</f>
        <v>377910.0017002397</v>
      </c>
      <c r="CB149" s="10">
        <f t="shared" si="150"/>
        <v>1023.1985010820036</v>
      </c>
      <c r="CC149" s="10">
        <f t="shared" si="151"/>
        <v>2137.7659909029635</v>
      </c>
      <c r="CD149" s="10">
        <f t="shared" si="152"/>
        <v>1114.56748982096</v>
      </c>
      <c r="CF149" s="44">
        <f t="shared" si="148"/>
        <v>0.4495</v>
      </c>
      <c r="CG149" s="10">
        <f t="shared" si="153"/>
        <v>-960.93</v>
      </c>
      <c r="CH149" s="4">
        <f t="shared" si="158"/>
        <v>0</v>
      </c>
    </row>
    <row r="150" spans="1:86" ht="15.75">
      <c r="A150" s="36"/>
      <c r="B150" s="37">
        <v>41671</v>
      </c>
      <c r="C150" s="77">
        <f t="shared" si="142"/>
        <v>3.4205</v>
      </c>
      <c r="D150" s="78">
        <f>C150*(1+Podsumowanie!E$11)</f>
        <v>3.523115</v>
      </c>
      <c r="E150" s="34">
        <f t="shared" si="115"/>
        <v>-611.6107152030976</v>
      </c>
      <c r="F150" s="7">
        <f t="shared" si="136"/>
        <v>-2154.7748848927613</v>
      </c>
      <c r="G150" s="7">
        <f t="shared" si="116"/>
        <v>-1348.9600309019393</v>
      </c>
      <c r="H150" s="7">
        <f t="shared" si="137"/>
        <v>805.814853990822</v>
      </c>
      <c r="I150" s="32"/>
      <c r="J150" s="4" t="str">
        <f t="shared" si="159"/>
        <v xml:space="preserve"> </v>
      </c>
      <c r="K150" s="4">
        <f>IF(B150&lt;Podsumowanie!E$7,0,K149+1)</f>
        <v>80</v>
      </c>
      <c r="L150" s="100">
        <f t="shared" si="143"/>
        <v>0.0001</v>
      </c>
      <c r="M150" s="38">
        <f>L150+Podsumowanie!E$6</f>
        <v>0.0121</v>
      </c>
      <c r="N150" s="101">
        <f>MAX(Podsumowanie!E$4+SUM(AA$5:AA149)-SUM(X$5:X150)+SUM(W$5:W150),0)</f>
        <v>150055.28026351743</v>
      </c>
      <c r="O150" s="102">
        <f>MAX(Podsumowanie!E$2+SUM(V$5:V149)-SUM(S$5:S150)+SUM(R$5:R150),0)</f>
        <v>330959.82537529035</v>
      </c>
      <c r="P150" s="39">
        <f t="shared" si="131"/>
        <v>360</v>
      </c>
      <c r="Q150" s="40" t="str">
        <f>IF(AND(K150&gt;0,K150&lt;=Podsumowanie!E$9),"tak","nie")</f>
        <v>nie</v>
      </c>
      <c r="R150" s="41"/>
      <c r="S150" s="42"/>
      <c r="T150" s="88">
        <f t="shared" si="117"/>
        <v>-333.7178239200844</v>
      </c>
      <c r="U150" s="89">
        <f>IF(Q150="tak",T150,IF(P150-SUM(AB$5:AB150)+1&gt;0,IF(Podsumowanie!E$7&lt;B150,IF(SUM(AB$5:AB150)-Podsumowanie!E$9+1&gt;0,PMT(M150/12,P150+1-SUM(AB$5:AB150),O150),T150),0),0))</f>
        <v>-1348.9600309019393</v>
      </c>
      <c r="V150" s="89">
        <f t="shared" si="141"/>
        <v>-1015.2422069818549</v>
      </c>
      <c r="W150" s="90" t="str">
        <f>IF(R150&gt;0,R150/(C150*(1-Podsumowanie!E$11))," ")</f>
        <v xml:space="preserve"> </v>
      </c>
      <c r="X150" s="90" t="str">
        <f t="shared" si="160"/>
        <v xml:space="preserve"> </v>
      </c>
      <c r="Y150" s="91">
        <f t="shared" si="164"/>
        <v>-151.30574093238008</v>
      </c>
      <c r="Z150" s="90">
        <f>IF(P150-SUM(AB$5:AB150)+1&gt;0,IF(Podsumowanie!E$7&lt;B150,IF(SUM(AB$5:AB150)-Podsumowanie!E$9+1&gt;0,PMT(M150/12,P150+1-SUM(AB$5:AB150),N150),Y150),0),0)</f>
        <v>-611.6107152030976</v>
      </c>
      <c r="AA150" s="90">
        <f t="shared" si="134"/>
        <v>-460.3049742707175</v>
      </c>
      <c r="AB150" s="8">
        <f>IF(AND(Podsumowanie!E$7&lt;B150,SUM(AB$5:AB149)&lt;P149),1," ")</f>
        <v>1</v>
      </c>
      <c r="AD150" s="10">
        <f>Podsumowanie!E$4-SUM(AF$5:AF149)+SUM(W$42:W150)-SUM(X$42:X150)</f>
        <v>141954.17813555224</v>
      </c>
      <c r="AE150" s="10">
        <f t="shared" si="118"/>
        <v>143.14</v>
      </c>
      <c r="AF150" s="10">
        <f t="shared" si="119"/>
        <v>505.18</v>
      </c>
      <c r="AG150" s="10">
        <f t="shared" si="132"/>
        <v>648.3199999999999</v>
      </c>
      <c r="AH150" s="10">
        <f t="shared" si="161"/>
        <v>2284.11</v>
      </c>
      <c r="AI150" s="10">
        <f>Podsumowanie!E$2-SUM(AK$5:AK149)+SUM(R$42:R150)-SUM(S$42:S150)</f>
        <v>313091.61999999994</v>
      </c>
      <c r="AJ150" s="10">
        <f t="shared" si="120"/>
        <v>315.7</v>
      </c>
      <c r="AK150" s="10">
        <f t="shared" si="121"/>
        <v>1114.21</v>
      </c>
      <c r="AL150" s="10">
        <f t="shared" si="122"/>
        <v>1429.91</v>
      </c>
      <c r="AM150" s="10">
        <f t="shared" si="123"/>
        <v>854.2</v>
      </c>
      <c r="AO150" s="43">
        <f t="shared" si="162"/>
        <v>41671</v>
      </c>
      <c r="AP150" s="11">
        <f>AP$5+SUM(AS$5:AS149)-SUM(X$5:X150)+SUM(W$5:W150)</f>
        <v>145553.6218556119</v>
      </c>
      <c r="AQ150" s="10">
        <f t="shared" si="124"/>
        <v>-146.76656870440868</v>
      </c>
      <c r="AR150" s="10">
        <f>IF(AB150=1,IF(Q150="tak",AQ150,PMT(M150/12,P150+1-SUM(AB$5:AB150),AP150)),0)</f>
        <v>-593.2623937470047</v>
      </c>
      <c r="AS150" s="10">
        <f t="shared" si="125"/>
        <v>-446.49582504259604</v>
      </c>
      <c r="AT150" s="10">
        <f t="shared" si="126"/>
        <v>-2029.2540178116296</v>
      </c>
      <c r="AV150" s="11">
        <f>AV$5+SUM(AX$5:AX149)+SUM(W$5:W149)-SUM(X$5:X149)</f>
        <v>137695.40719148563</v>
      </c>
      <c r="AW150" s="11">
        <f t="shared" si="127"/>
        <v>-146.76656870440868</v>
      </c>
      <c r="AX150" s="11">
        <f t="shared" si="128"/>
        <v>-490.02</v>
      </c>
      <c r="AY150" s="11">
        <f t="shared" si="133"/>
        <v>-636.7865687044086</v>
      </c>
      <c r="AZ150" s="11">
        <f t="shared" si="163"/>
        <v>-2178.12845825343</v>
      </c>
      <c r="BB150" s="191">
        <f t="shared" si="144"/>
        <v>0.0271</v>
      </c>
      <c r="BC150" s="44">
        <f>BB150+Podsumowanie!$E$6</f>
        <v>0.039099999999999996</v>
      </c>
      <c r="BD150" s="11">
        <f>BD$5+SUM(BE$5:BE149)+SUM(R$5:R149)-SUM(S$5:S149)</f>
        <v>359937.7188738408</v>
      </c>
      <c r="BE150" s="10">
        <f t="shared" si="135"/>
        <v>-780.4779063257258</v>
      </c>
      <c r="BF150" s="10">
        <f t="shared" si="130"/>
        <v>-1172.7970673305979</v>
      </c>
      <c r="BG150" s="10">
        <f>IF(U150&lt;0,PMT(BC150/12,Podsumowanie!E$8-SUM(AB$5:AB150)+1,BD150),0)</f>
        <v>-1953.2749736563237</v>
      </c>
      <c r="BI150" s="11">
        <f>BI$5+SUM(BK$5:BK149)+SUM(R$5:R149)-SUM(S$5:S149)</f>
        <v>313091.9220055709</v>
      </c>
      <c r="BJ150" s="11">
        <f t="shared" si="138"/>
        <v>-1020.1578458681516</v>
      </c>
      <c r="BK150" s="11">
        <f t="shared" si="139"/>
        <v>-1114.2061281337042</v>
      </c>
      <c r="BL150" s="11">
        <f t="shared" si="140"/>
        <v>-2134.3639740018557</v>
      </c>
      <c r="BN150" s="44">
        <f t="shared" si="145"/>
        <v>0.0392</v>
      </c>
      <c r="BO150" s="11">
        <f>BO$5+SUM(BP$5:BP149)+SUM(R$5:R149)-SUM(S$5:S149)+SUM(BS$5:BS149)</f>
        <v>393066.28275065625</v>
      </c>
      <c r="BP150" s="10">
        <f t="shared" si="154"/>
        <v>-851.1682602978315</v>
      </c>
      <c r="BQ150" s="10">
        <f t="shared" si="155"/>
        <v>-1284.0165236521436</v>
      </c>
      <c r="BR150" s="10">
        <f>IF(U150&lt;0,PMT(BN150/12,Podsumowanie!E$8-SUM(AB$5:AB150)+1,BO150),0)</f>
        <v>-2135.184783949975</v>
      </c>
      <c r="BS150" s="10">
        <f t="shared" si="149"/>
        <v>-19.590100942786194</v>
      </c>
      <c r="BU150" s="11">
        <f>BU$5+SUM(BW$5:BW149)+SUM(R$5:R149)-SUM(S$5:S149)+SUM(BY$5,BY149)</f>
        <v>312925.4113481477</v>
      </c>
      <c r="BV150" s="10">
        <f t="shared" si="146"/>
        <v>-1022.2230104039492</v>
      </c>
      <c r="BW150" s="10">
        <f t="shared" si="147"/>
        <v>-1113.61356351654</v>
      </c>
      <c r="BX150" s="10">
        <f t="shared" si="156"/>
        <v>-2135.836573920489</v>
      </c>
      <c r="BY150" s="10">
        <f t="shared" si="157"/>
        <v>-18.93831097227212</v>
      </c>
      <c r="CA150" s="10">
        <f>CA$5+SUM(CB$5:CB149)+SUM(R$5:R149)-SUM(S$5:S149)-SUM(CC$5:CC149)</f>
        <v>376795.43421041884</v>
      </c>
      <c r="CB150" s="10">
        <f t="shared" si="150"/>
        <v>1022.2230104039492</v>
      </c>
      <c r="CC150" s="10">
        <f t="shared" si="151"/>
        <v>2154.7748848927613</v>
      </c>
      <c r="CD150" s="10">
        <f t="shared" si="152"/>
        <v>1132.5518744888122</v>
      </c>
      <c r="CF150" s="44">
        <f t="shared" si="148"/>
        <v>0.4481</v>
      </c>
      <c r="CG150" s="10">
        <f t="shared" si="153"/>
        <v>-965.55</v>
      </c>
      <c r="CH150" s="4">
        <f t="shared" si="158"/>
        <v>0</v>
      </c>
    </row>
    <row r="151" spans="1:86" ht="15.75">
      <c r="A151" s="36"/>
      <c r="B151" s="37">
        <v>41699</v>
      </c>
      <c r="C151" s="77">
        <f t="shared" si="142"/>
        <v>3.4471</v>
      </c>
      <c r="D151" s="78">
        <f>C151*(1+Podsumowanie!E$11)</f>
        <v>3.550513</v>
      </c>
      <c r="E151" s="34">
        <f t="shared" si="115"/>
        <v>-611.6107152030976</v>
      </c>
      <c r="F151" s="7">
        <f t="shared" si="136"/>
        <v>-2171.5317952678956</v>
      </c>
      <c r="G151" s="7">
        <f t="shared" si="116"/>
        <v>-1348.9600309019393</v>
      </c>
      <c r="H151" s="7">
        <f t="shared" si="137"/>
        <v>822.5717643659564</v>
      </c>
      <c r="I151" s="32"/>
      <c r="J151" s="4" t="str">
        <f t="shared" si="159"/>
        <v xml:space="preserve"> </v>
      </c>
      <c r="K151" s="4">
        <f>IF(B151&lt;Podsumowanie!E$7,0,K150+1)</f>
        <v>81</v>
      </c>
      <c r="L151" s="100">
        <f t="shared" si="143"/>
        <v>0.0001</v>
      </c>
      <c r="M151" s="38">
        <f>L151+Podsumowanie!E$6</f>
        <v>0.0121</v>
      </c>
      <c r="N151" s="101">
        <f>MAX(Podsumowanie!E$4+SUM(AA$5:AA150)-SUM(X$5:X151)+SUM(W$5:W151),0)</f>
        <v>149594.9752892467</v>
      </c>
      <c r="O151" s="102">
        <f>MAX(Podsumowanie!E$2+SUM(V$5:V150)-SUM(S$5:S151)+SUM(R$5:R151),0)</f>
        <v>329944.5831683085</v>
      </c>
      <c r="P151" s="39">
        <f t="shared" si="131"/>
        <v>360</v>
      </c>
      <c r="Q151" s="40" t="str">
        <f>IF(AND(K151&gt;0,K151&lt;=Podsumowanie!E$9),"tak","nie")</f>
        <v>nie</v>
      </c>
      <c r="R151" s="41"/>
      <c r="S151" s="42"/>
      <c r="T151" s="88">
        <f t="shared" si="117"/>
        <v>-332.6941213613777</v>
      </c>
      <c r="U151" s="89">
        <f>IF(Q151="tak",T151,IF(P151-SUM(AB$5:AB151)+1&gt;0,IF(Podsumowanie!E$7&lt;B151,IF(SUM(AB$5:AB151)-Podsumowanie!E$9+1&gt;0,PMT(M151/12,P151+1-SUM(AB$5:AB151),O151),T151),0),0))</f>
        <v>-1348.9600309019393</v>
      </c>
      <c r="V151" s="89">
        <f t="shared" si="141"/>
        <v>-1016.2659095405616</v>
      </c>
      <c r="W151" s="90" t="str">
        <f>IF(R151&gt;0,R151/(C151*(1-Podsumowanie!E$11))," ")</f>
        <v xml:space="preserve"> </v>
      </c>
      <c r="X151" s="90" t="str">
        <f t="shared" si="160"/>
        <v xml:space="preserve"> </v>
      </c>
      <c r="Y151" s="91">
        <f t="shared" si="164"/>
        <v>-150.84160008332375</v>
      </c>
      <c r="Z151" s="90">
        <f>IF(P151-SUM(AB$5:AB151)+1&gt;0,IF(Podsumowanie!E$7&lt;B151,IF(SUM(AB$5:AB151)-Podsumowanie!E$9+1&gt;0,PMT(M151/12,P151+1-SUM(AB$5:AB151),N151),Y151),0),0)</f>
        <v>-611.6107152030976</v>
      </c>
      <c r="AA151" s="90">
        <f t="shared" si="134"/>
        <v>-460.7691151197738</v>
      </c>
      <c r="AB151" s="8">
        <f>IF(AND(Podsumowanie!E$7&lt;B151,SUM(AB$5:AB150)&lt;P150),1," ")</f>
        <v>1</v>
      </c>
      <c r="AD151" s="10">
        <f>Podsumowanie!E$4-SUM(AF$5:AF150)+SUM(W$42:W151)-SUM(X$42:X151)</f>
        <v>141448.99813555222</v>
      </c>
      <c r="AE151" s="10">
        <f t="shared" si="118"/>
        <v>142.63</v>
      </c>
      <c r="AF151" s="10">
        <f t="shared" si="119"/>
        <v>505.17</v>
      </c>
      <c r="AG151" s="10">
        <f t="shared" si="132"/>
        <v>647.8</v>
      </c>
      <c r="AH151" s="10">
        <f t="shared" si="161"/>
        <v>2300.02</v>
      </c>
      <c r="AI151" s="10">
        <f>Podsumowanie!E$2-SUM(AK$5:AK150)+SUM(R$42:R151)-SUM(S$42:S151)</f>
        <v>311977.4099999999</v>
      </c>
      <c r="AJ151" s="10">
        <f t="shared" si="120"/>
        <v>314.58</v>
      </c>
      <c r="AK151" s="10">
        <f t="shared" si="121"/>
        <v>1114.21</v>
      </c>
      <c r="AL151" s="10">
        <f t="shared" si="122"/>
        <v>1428.79</v>
      </c>
      <c r="AM151" s="10">
        <f t="shared" si="123"/>
        <v>871.23</v>
      </c>
      <c r="AO151" s="43">
        <f t="shared" si="162"/>
        <v>41699</v>
      </c>
      <c r="AP151" s="11">
        <f>AP$5+SUM(AS$5:AS150)-SUM(X$5:X151)+SUM(W$5:W151)</f>
        <v>145107.1260305693</v>
      </c>
      <c r="AQ151" s="10">
        <f t="shared" si="124"/>
        <v>-146.31635208082406</v>
      </c>
      <c r="AR151" s="10">
        <f>IF(AB151=1,IF(Q151="tak",AQ151,PMT(M151/12,P151+1-SUM(AB$5:AB151),AP151)),0)</f>
        <v>-593.2623937470048</v>
      </c>
      <c r="AS151" s="10">
        <f t="shared" si="125"/>
        <v>-446.94604166618075</v>
      </c>
      <c r="AT151" s="10">
        <f t="shared" si="126"/>
        <v>-2045.0347974853003</v>
      </c>
      <c r="AV151" s="11">
        <f>AV$5+SUM(AX$5:AX150)+SUM(W$5:W150)-SUM(X$5:X150)</f>
        <v>137205.38719148564</v>
      </c>
      <c r="AW151" s="11">
        <f t="shared" si="127"/>
        <v>-146.31635208082406</v>
      </c>
      <c r="AX151" s="11">
        <f t="shared" si="128"/>
        <v>-490.02</v>
      </c>
      <c r="AY151" s="11">
        <f t="shared" si="133"/>
        <v>-636.3363520808241</v>
      </c>
      <c r="AZ151" s="11">
        <f t="shared" si="163"/>
        <v>-2193.5150392578084</v>
      </c>
      <c r="BB151" s="191">
        <f t="shared" si="144"/>
        <v>0.0271</v>
      </c>
      <c r="BC151" s="44">
        <f>BB151+Podsumowanie!$E$6</f>
        <v>0.039099999999999996</v>
      </c>
      <c r="BD151" s="11">
        <f>BD$5+SUM(BE$5:BE150)+SUM(R$5:R150)-SUM(S$5:S150)</f>
        <v>359157.24096751504</v>
      </c>
      <c r="BE151" s="10">
        <f t="shared" si="135"/>
        <v>-783.0209635038368</v>
      </c>
      <c r="BF151" s="10">
        <f t="shared" si="130"/>
        <v>-1170.2540101524864</v>
      </c>
      <c r="BG151" s="10">
        <f>IF(U151&lt;0,PMT(BC151/12,Podsumowanie!E$8-SUM(AB$5:AB151)+1,BD151),0)</f>
        <v>-1953.2749736563233</v>
      </c>
      <c r="BI151" s="11">
        <f>BI$5+SUM(BK$5:BK150)+SUM(R$5:R150)-SUM(S$5:S150)</f>
        <v>311977.7158774372</v>
      </c>
      <c r="BJ151" s="11">
        <f t="shared" si="138"/>
        <v>-1016.5273909006495</v>
      </c>
      <c r="BK151" s="11">
        <f t="shared" si="139"/>
        <v>-1114.2061281337044</v>
      </c>
      <c r="BL151" s="11">
        <f t="shared" si="140"/>
        <v>-2130.733519034354</v>
      </c>
      <c r="BN151" s="44">
        <f t="shared" si="145"/>
        <v>0.0392</v>
      </c>
      <c r="BO151" s="11">
        <f>BO$5+SUM(BP$5:BP150)+SUM(R$5:R150)-SUM(S$5:S150)+SUM(BS$5:BS150)</f>
        <v>392195.52438941563</v>
      </c>
      <c r="BP151" s="10">
        <f t="shared" si="154"/>
        <v>-853.9060908148451</v>
      </c>
      <c r="BQ151" s="10">
        <f t="shared" si="155"/>
        <v>-1281.1720463387576</v>
      </c>
      <c r="BR151" s="10">
        <f>IF(U151&lt;0,PMT(BN151/12,Podsumowanie!E$8-SUM(AB$5:AB151)+1,BO151),0)</f>
        <v>-2135.0781371536027</v>
      </c>
      <c r="BS151" s="10">
        <f t="shared" si="149"/>
        <v>-36.45365811429292</v>
      </c>
      <c r="BU151" s="11">
        <f>BU$5+SUM(BW$5:BW150)+SUM(R$5:R150)-SUM(S$5:S150)+SUM(BY$5,BY150)</f>
        <v>311793.8627243962</v>
      </c>
      <c r="BV151" s="10">
        <f t="shared" si="146"/>
        <v>-1018.5266182330275</v>
      </c>
      <c r="BW151" s="10">
        <f t="shared" si="147"/>
        <v>-1113.5495097299865</v>
      </c>
      <c r="BX151" s="10">
        <f t="shared" si="156"/>
        <v>-2132.076127963014</v>
      </c>
      <c r="BY151" s="10">
        <f t="shared" si="157"/>
        <v>-39.455667304881445</v>
      </c>
      <c r="CA151" s="10">
        <f>CA$5+SUM(CB$5:CB150)+SUM(R$5:R150)-SUM(S$5:S150)-SUM(CC$5:CC150)</f>
        <v>375662.88233592996</v>
      </c>
      <c r="CB151" s="10">
        <f t="shared" si="150"/>
        <v>1018.5266182330275</v>
      </c>
      <c r="CC151" s="10">
        <f t="shared" si="151"/>
        <v>2171.5317952678956</v>
      </c>
      <c r="CD151" s="10">
        <f t="shared" si="152"/>
        <v>1153.0051770348682</v>
      </c>
      <c r="CF151" s="44">
        <f t="shared" si="148"/>
        <v>0.4466</v>
      </c>
      <c r="CG151" s="10">
        <f t="shared" si="153"/>
        <v>-969.81</v>
      </c>
      <c r="CH151" s="4">
        <f t="shared" si="158"/>
        <v>0</v>
      </c>
    </row>
    <row r="152" spans="1:86" ht="15.75">
      <c r="A152" s="36"/>
      <c r="B152" s="37">
        <v>41730</v>
      </c>
      <c r="C152" s="77">
        <f t="shared" si="142"/>
        <v>3.4317</v>
      </c>
      <c r="D152" s="78">
        <f>C152*(1+Podsumowanie!E$11)</f>
        <v>3.534651</v>
      </c>
      <c r="E152" s="34">
        <f t="shared" si="115"/>
        <v>-611.6107152030977</v>
      </c>
      <c r="F152" s="7">
        <f t="shared" si="136"/>
        <v>-2161.8304261033445</v>
      </c>
      <c r="G152" s="7">
        <f t="shared" si="116"/>
        <v>-1348.9600309019393</v>
      </c>
      <c r="H152" s="7">
        <f t="shared" si="137"/>
        <v>812.8703952014052</v>
      </c>
      <c r="I152" s="32"/>
      <c r="J152" s="4" t="str">
        <f t="shared" si="159"/>
        <v xml:space="preserve"> </v>
      </c>
      <c r="K152" s="4">
        <f>IF(B152&lt;Podsumowanie!E$7,0,K151+1)</f>
        <v>82</v>
      </c>
      <c r="L152" s="100">
        <f t="shared" si="143"/>
        <v>0.0001</v>
      </c>
      <c r="M152" s="38">
        <f>L152+Podsumowanie!E$6</f>
        <v>0.0121</v>
      </c>
      <c r="N152" s="101">
        <f>MAX(Podsumowanie!E$4+SUM(AA$5:AA151)-SUM(X$5:X152)+SUM(W$5:W152),0)</f>
        <v>149134.20617412694</v>
      </c>
      <c r="O152" s="102">
        <f>MAX(Podsumowanie!E$2+SUM(V$5:V151)-SUM(S$5:S152)+SUM(R$5:R152),0)</f>
        <v>328928.3172587679</v>
      </c>
      <c r="P152" s="39">
        <f t="shared" si="131"/>
        <v>360</v>
      </c>
      <c r="Q152" s="40" t="str">
        <f>IF(AND(K152&gt;0,K152&lt;=Podsumowanie!E$9),"tak","nie")</f>
        <v>nie</v>
      </c>
      <c r="R152" s="41"/>
      <c r="S152" s="42"/>
      <c r="T152" s="88">
        <f t="shared" si="117"/>
        <v>-331.6693865692576</v>
      </c>
      <c r="U152" s="89">
        <f>IF(Q152="tak",T152,IF(P152-SUM(AB$5:AB152)+1&gt;0,IF(Podsumowanie!E$7&lt;B152,IF(SUM(AB$5:AB152)-Podsumowanie!E$9+1&gt;0,PMT(M152/12,P152+1-SUM(AB$5:AB152),O152),T152),0),0))</f>
        <v>-1348.9600309019393</v>
      </c>
      <c r="V152" s="89">
        <f t="shared" si="141"/>
        <v>-1017.2906443326817</v>
      </c>
      <c r="W152" s="90" t="str">
        <f>IF(R152&gt;0,R152/(C152*(1-Podsumowanie!E$11))," ")</f>
        <v xml:space="preserve"> </v>
      </c>
      <c r="X152" s="90" t="str">
        <f t="shared" si="160"/>
        <v xml:space="preserve"> </v>
      </c>
      <c r="Y152" s="91">
        <f t="shared" si="164"/>
        <v>-150.376991225578</v>
      </c>
      <c r="Z152" s="90">
        <f>IF(P152-SUM(AB$5:AB152)+1&gt;0,IF(Podsumowanie!E$7&lt;B152,IF(SUM(AB$5:AB152)-Podsumowanie!E$9+1&gt;0,PMT(M152/12,P152+1-SUM(AB$5:AB152),N152),Y152),0),0)</f>
        <v>-611.6107152030977</v>
      </c>
      <c r="AA152" s="90">
        <f t="shared" si="134"/>
        <v>-461.23372397751973</v>
      </c>
      <c r="AB152" s="8">
        <f>IF(AND(Podsumowanie!E$7&lt;B152,SUM(AB$5:AB151)&lt;P151),1," ")</f>
        <v>1</v>
      </c>
      <c r="AD152" s="10">
        <f>Podsumowanie!E$4-SUM(AF$5:AF151)+SUM(W$42:W152)-SUM(X$42:X152)</f>
        <v>140943.82813555223</v>
      </c>
      <c r="AE152" s="10">
        <f t="shared" si="118"/>
        <v>142.12</v>
      </c>
      <c r="AF152" s="10">
        <f t="shared" si="119"/>
        <v>505.18</v>
      </c>
      <c r="AG152" s="10">
        <f t="shared" si="132"/>
        <v>647.3</v>
      </c>
      <c r="AH152" s="10">
        <f t="shared" si="161"/>
        <v>2287.98</v>
      </c>
      <c r="AI152" s="10">
        <f>Podsumowanie!E$2-SUM(AK$5:AK151)+SUM(R$42:R152)-SUM(S$42:S152)</f>
        <v>310863.1999999999</v>
      </c>
      <c r="AJ152" s="10">
        <f t="shared" si="120"/>
        <v>313.45</v>
      </c>
      <c r="AK152" s="10">
        <f t="shared" si="121"/>
        <v>1114.21</v>
      </c>
      <c r="AL152" s="10">
        <f t="shared" si="122"/>
        <v>1427.66</v>
      </c>
      <c r="AM152" s="10">
        <f t="shared" si="123"/>
        <v>860.3199999999999</v>
      </c>
      <c r="AO152" s="43">
        <f t="shared" si="162"/>
        <v>41730</v>
      </c>
      <c r="AP152" s="11">
        <f>AP$5+SUM(AS$5:AS151)-SUM(X$5:X152)+SUM(W$5:W152)</f>
        <v>144660.17998890314</v>
      </c>
      <c r="AQ152" s="10">
        <f t="shared" si="124"/>
        <v>-145.86568148881068</v>
      </c>
      <c r="AR152" s="10">
        <f>IF(AB152=1,IF(Q152="tak",AQ152,PMT(M152/12,P152+1-SUM(AB$5:AB152),AP152)),0)</f>
        <v>-593.2623937470048</v>
      </c>
      <c r="AS152" s="10">
        <f t="shared" si="125"/>
        <v>-447.39671225819416</v>
      </c>
      <c r="AT152" s="10">
        <f t="shared" si="126"/>
        <v>-2035.8985566215965</v>
      </c>
      <c r="AV152" s="11">
        <f>AV$5+SUM(AX$5:AX151)+SUM(W$5:W151)-SUM(X$5:X151)</f>
        <v>136715.36719148565</v>
      </c>
      <c r="AW152" s="11">
        <f t="shared" si="127"/>
        <v>-145.86568148881068</v>
      </c>
      <c r="AX152" s="11">
        <f t="shared" si="128"/>
        <v>-490.02</v>
      </c>
      <c r="AY152" s="11">
        <f t="shared" si="133"/>
        <v>-635.8856814888106</v>
      </c>
      <c r="AZ152" s="11">
        <f t="shared" si="163"/>
        <v>-2182.1688931651515</v>
      </c>
      <c r="BB152" s="191">
        <f t="shared" si="144"/>
        <v>0.0272</v>
      </c>
      <c r="BC152" s="44">
        <f>BB152+Podsumowanie!$E$6</f>
        <v>0.0392</v>
      </c>
      <c r="BD152" s="11">
        <f>BD$5+SUM(BE$5:BE151)+SUM(R$5:R151)-SUM(S$5:S151)</f>
        <v>358374.22000401124</v>
      </c>
      <c r="BE152" s="10">
        <f t="shared" si="135"/>
        <v>-784.5257786691006</v>
      </c>
      <c r="BF152" s="10">
        <f t="shared" si="130"/>
        <v>-1170.68911867977</v>
      </c>
      <c r="BG152" s="10">
        <f>IF(U152&lt;0,PMT(BC152/12,Podsumowanie!E$8-SUM(AB$5:AB152)+1,BD152),0)</f>
        <v>-1955.2148973488706</v>
      </c>
      <c r="BI152" s="11">
        <f>BI$5+SUM(BK$5:BK151)+SUM(R$5:R151)-SUM(S$5:S151)</f>
        <v>310863.5097493035</v>
      </c>
      <c r="BJ152" s="11">
        <f t="shared" si="138"/>
        <v>-1015.4874651810582</v>
      </c>
      <c r="BK152" s="11">
        <f t="shared" si="139"/>
        <v>-1114.2061281337044</v>
      </c>
      <c r="BL152" s="11">
        <f t="shared" si="140"/>
        <v>-2129.6935933147624</v>
      </c>
      <c r="BN152" s="44">
        <f t="shared" si="145"/>
        <v>0.0393</v>
      </c>
      <c r="BO152" s="11">
        <f>BO$5+SUM(BP$5:BP151)+SUM(R$5:R151)-SUM(S$5:S151)+SUM(BS$5:BS151)</f>
        <v>391305.1646404865</v>
      </c>
      <c r="BP152" s="10">
        <f t="shared" si="154"/>
        <v>-855.4741840644617</v>
      </c>
      <c r="BQ152" s="10">
        <f t="shared" si="155"/>
        <v>-1281.5244141975934</v>
      </c>
      <c r="BR152" s="10">
        <f>IF(U152&lt;0,PMT(BN152/12,Podsumowanie!E$8-SUM(AB$5:AB152)+1,BO152),0)</f>
        <v>-2136.998598262055</v>
      </c>
      <c r="BS152" s="10">
        <f t="shared" si="149"/>
        <v>-24.831827841289396</v>
      </c>
      <c r="BU152" s="11">
        <f>BU$5+SUM(BW$5:BW151)+SUM(R$5:R151)-SUM(S$5:S151)+SUM(BY$5,BY151)</f>
        <v>310659.79585833364</v>
      </c>
      <c r="BV152" s="10">
        <f t="shared" si="146"/>
        <v>-1017.4108314360427</v>
      </c>
      <c r="BW152" s="10">
        <f t="shared" si="147"/>
        <v>-1113.4759708184001</v>
      </c>
      <c r="BX152" s="10">
        <f t="shared" si="156"/>
        <v>-2130.886802254443</v>
      </c>
      <c r="BY152" s="10">
        <f t="shared" si="157"/>
        <v>-30.943623848901552</v>
      </c>
      <c r="CA152" s="10">
        <f>CA$5+SUM(CB$5:CB151)+SUM(R$5:R151)-SUM(S$5:S151)-SUM(CC$5:CC151)</f>
        <v>374509.87715889513</v>
      </c>
      <c r="CB152" s="10">
        <f t="shared" si="150"/>
        <v>1017.4108314360427</v>
      </c>
      <c r="CC152" s="10">
        <f t="shared" si="151"/>
        <v>2161.8304261033445</v>
      </c>
      <c r="CD152" s="10">
        <f t="shared" si="152"/>
        <v>1144.4195946673017</v>
      </c>
      <c r="CF152" s="44">
        <f t="shared" si="148"/>
        <v>0.4466</v>
      </c>
      <c r="CG152" s="10">
        <f t="shared" si="153"/>
        <v>-965.47</v>
      </c>
      <c r="CH152" s="4">
        <f t="shared" si="158"/>
        <v>0</v>
      </c>
    </row>
    <row r="153" spans="1:86" ht="15.75">
      <c r="A153" s="36"/>
      <c r="B153" s="37">
        <v>41760</v>
      </c>
      <c r="C153" s="77">
        <f t="shared" si="142"/>
        <v>3.4244</v>
      </c>
      <c r="D153" s="78">
        <f>C153*(1+Podsumowanie!E$11)</f>
        <v>3.527132</v>
      </c>
      <c r="E153" s="34">
        <f t="shared" si="115"/>
        <v>-611.6107152030977</v>
      </c>
      <c r="F153" s="7">
        <f t="shared" si="136"/>
        <v>-2157.231725135732</v>
      </c>
      <c r="G153" s="7">
        <f t="shared" si="116"/>
        <v>-1348.9600309019393</v>
      </c>
      <c r="H153" s="7">
        <f t="shared" si="137"/>
        <v>808.2716942337929</v>
      </c>
      <c r="I153" s="32"/>
      <c r="J153" s="4" t="str">
        <f t="shared" si="159"/>
        <v xml:space="preserve"> </v>
      </c>
      <c r="K153" s="4">
        <f>IF(B153&lt;Podsumowanie!E$7,0,K152+1)</f>
        <v>83</v>
      </c>
      <c r="L153" s="100">
        <f t="shared" si="143"/>
        <v>0.0001</v>
      </c>
      <c r="M153" s="38">
        <f>L153+Podsumowanie!E$6</f>
        <v>0.0121</v>
      </c>
      <c r="N153" s="101">
        <f>MAX(Podsumowanie!E$4+SUM(AA$5:AA152)-SUM(X$5:X153)+SUM(W$5:W153),0)</f>
        <v>148672.97245014942</v>
      </c>
      <c r="O153" s="102">
        <f>MAX(Podsumowanie!E$2+SUM(V$5:V152)-SUM(S$5:S153)+SUM(R$5:R153),0)</f>
        <v>327911.02661443525</v>
      </c>
      <c r="P153" s="39">
        <f t="shared" si="131"/>
        <v>360</v>
      </c>
      <c r="Q153" s="40" t="str">
        <f>IF(AND(K153&gt;0,K153&lt;=Podsumowanie!E$9),"tak","nie")</f>
        <v>nie</v>
      </c>
      <c r="R153" s="41"/>
      <c r="S153" s="42"/>
      <c r="T153" s="88">
        <f t="shared" si="117"/>
        <v>-330.64361850288884</v>
      </c>
      <c r="U153" s="89">
        <f>IF(Q153="tak",T153,IF(P153-SUM(AB$5:AB153)+1&gt;0,IF(Podsumowanie!E$7&lt;B153,IF(SUM(AB$5:AB153)-Podsumowanie!E$9+1&gt;0,PMT(M153/12,P153+1-SUM(AB$5:AB153),O153),T153),0),0))</f>
        <v>-1348.9600309019393</v>
      </c>
      <c r="V153" s="89">
        <f t="shared" si="141"/>
        <v>-1018.3164123990505</v>
      </c>
      <c r="W153" s="90" t="str">
        <f>IF(R153&gt;0,R153/(C153*(1-Podsumowanie!E$11))," ")</f>
        <v xml:space="preserve"> </v>
      </c>
      <c r="X153" s="90" t="str">
        <f t="shared" si="160"/>
        <v xml:space="preserve"> </v>
      </c>
      <c r="Y153" s="91">
        <f t="shared" si="164"/>
        <v>-149.911913887234</v>
      </c>
      <c r="Z153" s="90">
        <f>IF(P153-SUM(AB$5:AB153)+1&gt;0,IF(Podsumowanie!E$7&lt;B153,IF(SUM(AB$5:AB153)-Podsumowanie!E$9+1&gt;0,PMT(M153/12,P153+1-SUM(AB$5:AB153),N153),Y153),0),0)</f>
        <v>-611.6107152030977</v>
      </c>
      <c r="AA153" s="90">
        <f t="shared" si="134"/>
        <v>-461.6988013158637</v>
      </c>
      <c r="AB153" s="8">
        <f>IF(AND(Podsumowanie!E$7&lt;B153,SUM(AB$5:AB152)&lt;P152),1," ")</f>
        <v>1</v>
      </c>
      <c r="AD153" s="10">
        <f>Podsumowanie!E$4-SUM(AF$5:AF152)+SUM(W$42:W153)-SUM(X$42:X153)</f>
        <v>140438.64813555224</v>
      </c>
      <c r="AE153" s="10">
        <f t="shared" si="118"/>
        <v>141.61</v>
      </c>
      <c r="AF153" s="10">
        <f t="shared" si="119"/>
        <v>505.17</v>
      </c>
      <c r="AG153" s="10">
        <f t="shared" si="132"/>
        <v>646.78</v>
      </c>
      <c r="AH153" s="10">
        <f t="shared" si="161"/>
        <v>2281.28</v>
      </c>
      <c r="AI153" s="10">
        <f>Podsumowanie!E$2-SUM(AK$5:AK152)+SUM(R$42:R153)-SUM(S$42:S153)</f>
        <v>309748.9899999999</v>
      </c>
      <c r="AJ153" s="10">
        <f t="shared" si="120"/>
        <v>312.33</v>
      </c>
      <c r="AK153" s="10">
        <f t="shared" si="121"/>
        <v>1114.21</v>
      </c>
      <c r="AL153" s="10">
        <f t="shared" si="122"/>
        <v>1426.54</v>
      </c>
      <c r="AM153" s="10">
        <f t="shared" si="123"/>
        <v>854.7400000000002</v>
      </c>
      <c r="AO153" s="43">
        <f t="shared" si="162"/>
        <v>41760</v>
      </c>
      <c r="AP153" s="11">
        <f>AP$5+SUM(AS$5:AS152)-SUM(X$5:X153)+SUM(W$5:W153)</f>
        <v>144212.78327664494</v>
      </c>
      <c r="AQ153" s="10">
        <f t="shared" si="124"/>
        <v>-145.414556470617</v>
      </c>
      <c r="AR153" s="10">
        <f>IF(AB153=1,IF(Q153="tak",AQ153,PMT(M153/12,P153+1-SUM(AB$5:AB153),AP153)),0)</f>
        <v>-593.2623937470048</v>
      </c>
      <c r="AS153" s="10">
        <f t="shared" si="125"/>
        <v>-447.84783727638785</v>
      </c>
      <c r="AT153" s="10">
        <f t="shared" si="126"/>
        <v>-2031.5677411472432</v>
      </c>
      <c r="AV153" s="11">
        <f>AV$5+SUM(AX$5:AX152)+SUM(W$5:W152)-SUM(X$5:X152)</f>
        <v>136225.34719148563</v>
      </c>
      <c r="AW153" s="11">
        <f t="shared" si="127"/>
        <v>-145.414556470617</v>
      </c>
      <c r="AX153" s="11">
        <f t="shared" si="128"/>
        <v>-490.02</v>
      </c>
      <c r="AY153" s="11">
        <f t="shared" si="133"/>
        <v>-635.4345564706169</v>
      </c>
      <c r="AZ153" s="11">
        <f t="shared" si="163"/>
        <v>-2175.9820951779807</v>
      </c>
      <c r="BB153" s="191">
        <f t="shared" si="144"/>
        <v>0.0272</v>
      </c>
      <c r="BC153" s="44">
        <f>BB153+Podsumowanie!$E$6</f>
        <v>0.0392</v>
      </c>
      <c r="BD153" s="11">
        <f>BD$5+SUM(BE$5:BE152)+SUM(R$5:R152)-SUM(S$5:S152)</f>
        <v>357589.69422534213</v>
      </c>
      <c r="BE153" s="10">
        <f t="shared" si="135"/>
        <v>-787.0885628794201</v>
      </c>
      <c r="BF153" s="10">
        <f t="shared" si="130"/>
        <v>-1168.126334469451</v>
      </c>
      <c r="BG153" s="10">
        <f>IF(U153&lt;0,PMT(BC153/12,Podsumowanie!E$8-SUM(AB$5:AB153)+1,BD153),0)</f>
        <v>-1955.214897348871</v>
      </c>
      <c r="BI153" s="11">
        <f>BI$5+SUM(BK$5:BK152)+SUM(R$5:R152)-SUM(S$5:S152)</f>
        <v>309749.30362116976</v>
      </c>
      <c r="BJ153" s="11">
        <f t="shared" si="138"/>
        <v>-1011.8477251624878</v>
      </c>
      <c r="BK153" s="11">
        <f t="shared" si="139"/>
        <v>-1114.2061281337042</v>
      </c>
      <c r="BL153" s="11">
        <f t="shared" si="140"/>
        <v>-2126.053853296192</v>
      </c>
      <c r="BN153" s="44">
        <f t="shared" si="145"/>
        <v>0.0393</v>
      </c>
      <c r="BO153" s="11">
        <f>BO$5+SUM(BP$5:BP152)+SUM(R$5:R152)-SUM(S$5:S152)+SUM(BS$5:BS152)</f>
        <v>390424.85862858075</v>
      </c>
      <c r="BP153" s="10">
        <f t="shared" si="154"/>
        <v>-858.2212773704755</v>
      </c>
      <c r="BQ153" s="10">
        <f t="shared" si="155"/>
        <v>-1278.641412008602</v>
      </c>
      <c r="BR153" s="10">
        <f>IF(U153&lt;0,PMT(BN153/12,Podsumowanie!E$8-SUM(AB$5:AB153)+1,BO153),0)</f>
        <v>-2136.8626893790774</v>
      </c>
      <c r="BS153" s="10">
        <f t="shared" si="149"/>
        <v>-20.36903575665474</v>
      </c>
      <c r="BU153" s="11">
        <f>BU$5+SUM(BW$5:BW152)+SUM(R$5:R152)-SUM(S$5:S152)+SUM(BY$5,BY152)</f>
        <v>309554.83193097124</v>
      </c>
      <c r="BV153" s="10">
        <f t="shared" si="146"/>
        <v>-1013.7920745739308</v>
      </c>
      <c r="BW153" s="10">
        <f t="shared" si="147"/>
        <v>-1113.5065896797526</v>
      </c>
      <c r="BX153" s="10">
        <f t="shared" si="156"/>
        <v>-2127.2986642536835</v>
      </c>
      <c r="BY153" s="10">
        <f t="shared" si="157"/>
        <v>-29.93306088204872</v>
      </c>
      <c r="CA153" s="10">
        <f>CA$5+SUM(CB$5:CB152)+SUM(R$5:R152)-SUM(S$5:S152)-SUM(CC$5:CC152)</f>
        <v>373365.45756422787</v>
      </c>
      <c r="CB153" s="10">
        <f t="shared" si="150"/>
        <v>1013.7920745739308</v>
      </c>
      <c r="CC153" s="10">
        <f t="shared" si="151"/>
        <v>2157.231725135732</v>
      </c>
      <c r="CD153" s="10">
        <f t="shared" si="152"/>
        <v>1143.4396505618015</v>
      </c>
      <c r="CF153" s="44">
        <f t="shared" si="148"/>
        <v>0.4481</v>
      </c>
      <c r="CG153" s="10">
        <f t="shared" si="153"/>
        <v>-966.66</v>
      </c>
      <c r="CH153" s="4">
        <f t="shared" si="158"/>
        <v>0</v>
      </c>
    </row>
    <row r="154" spans="1:86" ht="15.75">
      <c r="A154" s="36"/>
      <c r="B154" s="37">
        <v>41791</v>
      </c>
      <c r="C154" s="77">
        <f t="shared" si="142"/>
        <v>3.3965</v>
      </c>
      <c r="D154" s="78">
        <f>C154*(1+Podsumowanie!E$11)</f>
        <v>3.4983950000000004</v>
      </c>
      <c r="E154" s="34">
        <f t="shared" si="115"/>
        <v>-611.6107152030978</v>
      </c>
      <c r="F154" s="7">
        <f t="shared" si="136"/>
        <v>-2139.6558680129415</v>
      </c>
      <c r="G154" s="7">
        <f t="shared" si="116"/>
        <v>-1348.9600309019397</v>
      </c>
      <c r="H154" s="7">
        <f t="shared" si="137"/>
        <v>790.6958371110018</v>
      </c>
      <c r="I154" s="32"/>
      <c r="J154" s="4" t="str">
        <f t="shared" si="159"/>
        <v xml:space="preserve"> </v>
      </c>
      <c r="K154" s="4">
        <f>IF(B154&lt;Podsumowanie!E$7,0,K153+1)</f>
        <v>84</v>
      </c>
      <c r="L154" s="100">
        <f t="shared" si="143"/>
        <v>0.0001</v>
      </c>
      <c r="M154" s="38">
        <f>L154+Podsumowanie!E$6</f>
        <v>0.0121</v>
      </c>
      <c r="N154" s="101">
        <f>MAX(Podsumowanie!E$4+SUM(AA$5:AA153)-SUM(X$5:X154)+SUM(W$5:W154),0)</f>
        <v>148211.27364883356</v>
      </c>
      <c r="O154" s="102">
        <f>MAX(Podsumowanie!E$2+SUM(V$5:V153)-SUM(S$5:S154)+SUM(R$5:R154),0)</f>
        <v>326892.7102020362</v>
      </c>
      <c r="P154" s="39">
        <f t="shared" si="131"/>
        <v>360</v>
      </c>
      <c r="Q154" s="40" t="str">
        <f>IF(AND(K154&gt;0,K154&lt;=Podsumowanie!E$9),"tak","nie")</f>
        <v>nie</v>
      </c>
      <c r="R154" s="41"/>
      <c r="S154" s="42"/>
      <c r="T154" s="88">
        <f t="shared" si="117"/>
        <v>-329.6168161203865</v>
      </c>
      <c r="U154" s="89">
        <f>IF(Q154="tak",T154,IF(P154-SUM(AB$5:AB154)+1&gt;0,IF(Podsumowanie!E$7&lt;B154,IF(SUM(AB$5:AB154)-Podsumowanie!E$9+1&gt;0,PMT(M154/12,P154+1-SUM(AB$5:AB154),O154),T154),0),0))</f>
        <v>-1348.9600309019397</v>
      </c>
      <c r="V154" s="89">
        <f t="shared" si="141"/>
        <v>-1019.3432147815532</v>
      </c>
      <c r="W154" s="90" t="str">
        <f>IF(R154&gt;0,R154/(C154*(1-Podsumowanie!E$11))," ")</f>
        <v xml:space="preserve"> </v>
      </c>
      <c r="X154" s="90" t="str">
        <f t="shared" si="160"/>
        <v xml:space="preserve"> </v>
      </c>
      <c r="Y154" s="91">
        <f t="shared" si="164"/>
        <v>-149.44636759590716</v>
      </c>
      <c r="Z154" s="90">
        <f>IF(P154-SUM(AB$5:AB154)+1&gt;0,IF(Podsumowanie!E$7&lt;B154,IF(SUM(AB$5:AB154)-Podsumowanie!E$9+1&gt;0,PMT(M154/12,P154+1-SUM(AB$5:AB154),N154),Y154),0),0)</f>
        <v>-611.6107152030978</v>
      </c>
      <c r="AA154" s="90">
        <f t="shared" si="134"/>
        <v>-462.1643476071906</v>
      </c>
      <c r="AB154" s="8">
        <f>IF(AND(Podsumowanie!E$7&lt;B154,SUM(AB$5:AB153)&lt;P153),1," ")</f>
        <v>1</v>
      </c>
      <c r="AD154" s="10">
        <f>Podsumowanie!E$4-SUM(AF$5:AF153)+SUM(W$42:W154)-SUM(X$42:X154)</f>
        <v>139933.47813555223</v>
      </c>
      <c r="AE154" s="10">
        <f t="shared" si="118"/>
        <v>141.1</v>
      </c>
      <c r="AF154" s="10">
        <f t="shared" si="119"/>
        <v>505.18</v>
      </c>
      <c r="AG154" s="10">
        <f t="shared" si="132"/>
        <v>646.28</v>
      </c>
      <c r="AH154" s="10">
        <f t="shared" si="161"/>
        <v>2260.94</v>
      </c>
      <c r="AI154" s="10">
        <f>Podsumowanie!E$2-SUM(AK$5:AK153)+SUM(R$42:R154)-SUM(S$42:S154)</f>
        <v>308634.7799999999</v>
      </c>
      <c r="AJ154" s="10">
        <f t="shared" si="120"/>
        <v>311.21</v>
      </c>
      <c r="AK154" s="10">
        <f t="shared" si="121"/>
        <v>1114.2</v>
      </c>
      <c r="AL154" s="10">
        <f t="shared" si="122"/>
        <v>1425.41</v>
      </c>
      <c r="AM154" s="10">
        <f t="shared" si="123"/>
        <v>835.53</v>
      </c>
      <c r="AO154" s="43">
        <f t="shared" si="162"/>
        <v>41791</v>
      </c>
      <c r="AP154" s="11">
        <f>AP$5+SUM(AS$5:AS153)-SUM(X$5:X154)+SUM(W$5:W154)</f>
        <v>143764.93543936854</v>
      </c>
      <c r="AQ154" s="10">
        <f t="shared" si="124"/>
        <v>-144.96297656802994</v>
      </c>
      <c r="AR154" s="10">
        <f>IF(AB154=1,IF(Q154="tak",AQ154,PMT(M154/12,P154+1-SUM(AB$5:AB154),AP154)),0)</f>
        <v>-593.2623937470048</v>
      </c>
      <c r="AS154" s="10">
        <f t="shared" si="125"/>
        <v>-448.29941717897486</v>
      </c>
      <c r="AT154" s="10">
        <f t="shared" si="126"/>
        <v>-2015.0157203617018</v>
      </c>
      <c r="AV154" s="11">
        <f>AV$5+SUM(AX$5:AX153)+SUM(W$5:W153)-SUM(X$5:X153)</f>
        <v>135735.32719148565</v>
      </c>
      <c r="AW154" s="11">
        <f t="shared" si="127"/>
        <v>-144.96297656802994</v>
      </c>
      <c r="AX154" s="11">
        <f t="shared" si="128"/>
        <v>-490.02</v>
      </c>
      <c r="AY154" s="11">
        <f t="shared" si="133"/>
        <v>-634.9829765680299</v>
      </c>
      <c r="AZ154" s="11">
        <f t="shared" si="163"/>
        <v>-2156.7196799133135</v>
      </c>
      <c r="BB154" s="191">
        <f t="shared" si="144"/>
        <v>0.0269</v>
      </c>
      <c r="BC154" s="44">
        <f>BB154+Podsumowanie!$E$6</f>
        <v>0.038900000000000004</v>
      </c>
      <c r="BD154" s="11">
        <f>BD$5+SUM(BE$5:BE153)+SUM(R$5:R153)-SUM(S$5:S153)</f>
        <v>356802.6056624627</v>
      </c>
      <c r="BE154" s="10">
        <f t="shared" si="135"/>
        <v>-792.7974969535405</v>
      </c>
      <c r="BF154" s="10">
        <f t="shared" si="130"/>
        <v>-1156.6351133558167</v>
      </c>
      <c r="BG154" s="10">
        <f>IF(U154&lt;0,PMT(BC154/12,Podsumowanie!E$8-SUM(AB$5:AB154)+1,BD154),0)</f>
        <v>-1949.4326103093572</v>
      </c>
      <c r="BI154" s="11">
        <f>BI$5+SUM(BK$5:BK153)+SUM(R$5:R153)-SUM(S$5:S153)</f>
        <v>308635.09749303607</v>
      </c>
      <c r="BJ154" s="11">
        <f t="shared" si="138"/>
        <v>-1000.492107706592</v>
      </c>
      <c r="BK154" s="11">
        <f t="shared" si="139"/>
        <v>-1114.2061281337042</v>
      </c>
      <c r="BL154" s="11">
        <f t="shared" si="140"/>
        <v>-2114.698235840296</v>
      </c>
      <c r="BN154" s="44">
        <f t="shared" si="145"/>
        <v>0.039</v>
      </c>
      <c r="BO154" s="11">
        <f>BO$5+SUM(BP$5:BP153)+SUM(R$5:R153)-SUM(S$5:S153)+SUM(BS$5:BS153)</f>
        <v>389546.2683154536</v>
      </c>
      <c r="BP154" s="10">
        <f t="shared" si="154"/>
        <v>-864.409212629357</v>
      </c>
      <c r="BQ154" s="10">
        <f t="shared" si="155"/>
        <v>-1266.0253720252242</v>
      </c>
      <c r="BR154" s="10">
        <f>IF(U154&lt;0,PMT(BN154/12,Podsumowanie!E$8-SUM(AB$5:AB154)+1,BO154),0)</f>
        <v>-2130.434584654581</v>
      </c>
      <c r="BS154" s="10">
        <f t="shared" si="149"/>
        <v>-9.221283358360324</v>
      </c>
      <c r="BU154" s="11">
        <f>BU$5+SUM(BW$5:BW153)+SUM(R$5:R153)-SUM(S$5:S153)+SUM(BY$5,BY153)</f>
        <v>308442.33590425836</v>
      </c>
      <c r="BV154" s="10">
        <f t="shared" si="146"/>
        <v>-1002.4375916888397</v>
      </c>
      <c r="BW154" s="10">
        <f t="shared" si="147"/>
        <v>-1113.5102379215102</v>
      </c>
      <c r="BX154" s="10">
        <f t="shared" si="156"/>
        <v>-2115.94782961035</v>
      </c>
      <c r="BY154" s="10">
        <f t="shared" si="157"/>
        <v>-23.708038402591683</v>
      </c>
      <c r="CA154" s="10">
        <f>CA$5+SUM(CB$5:CB153)+SUM(R$5:R153)-SUM(S$5:S153)-SUM(CC$5:CC153)</f>
        <v>372222.01791366603</v>
      </c>
      <c r="CB154" s="10">
        <f t="shared" si="150"/>
        <v>1002.4375916888397</v>
      </c>
      <c r="CC154" s="10">
        <f t="shared" si="151"/>
        <v>2139.6558680129415</v>
      </c>
      <c r="CD154" s="10">
        <f t="shared" si="152"/>
        <v>1137.2182763241017</v>
      </c>
      <c r="CF154" s="44">
        <f t="shared" si="148"/>
        <v>0.4481</v>
      </c>
      <c r="CG154" s="10">
        <f t="shared" si="153"/>
        <v>-958.78</v>
      </c>
      <c r="CH154" s="4">
        <f t="shared" si="158"/>
        <v>0</v>
      </c>
    </row>
    <row r="155" spans="1:86" ht="15.75">
      <c r="A155" s="36"/>
      <c r="B155" s="37">
        <v>41821</v>
      </c>
      <c r="C155" s="77">
        <f t="shared" si="142"/>
        <v>3.4114</v>
      </c>
      <c r="D155" s="78">
        <f>C155*(1+Podsumowanie!E$11)</f>
        <v>3.513742</v>
      </c>
      <c r="E155" s="34">
        <f t="shared" si="115"/>
        <v>-611.6107152030978</v>
      </c>
      <c r="F155" s="7">
        <f t="shared" si="136"/>
        <v>-2149.0422576591636</v>
      </c>
      <c r="G155" s="7">
        <f t="shared" si="116"/>
        <v>-1348.9600309019393</v>
      </c>
      <c r="H155" s="7">
        <f t="shared" si="137"/>
        <v>800.0822267572244</v>
      </c>
      <c r="I155" s="32"/>
      <c r="J155" s="4" t="str">
        <f t="shared" si="159"/>
        <v xml:space="preserve"> </v>
      </c>
      <c r="K155" s="4">
        <f>IF(B155&lt;Podsumowanie!E$7,0,K154+1)</f>
        <v>85</v>
      </c>
      <c r="L155" s="100">
        <f t="shared" si="143"/>
        <v>0.0001</v>
      </c>
      <c r="M155" s="38">
        <f>L155+Podsumowanie!E$6</f>
        <v>0.0121</v>
      </c>
      <c r="N155" s="101">
        <f>MAX(Podsumowanie!E$4+SUM(AA$5:AA154)-SUM(X$5:X155)+SUM(W$5:W155),0)</f>
        <v>147749.1093012264</v>
      </c>
      <c r="O155" s="102">
        <f>MAX(Podsumowanie!E$2+SUM(V$5:V154)-SUM(S$5:S155)+SUM(R$5:R155),0)</f>
        <v>325873.3669872546</v>
      </c>
      <c r="P155" s="39">
        <f t="shared" si="131"/>
        <v>360</v>
      </c>
      <c r="Q155" s="40" t="str">
        <f>IF(AND(K155&gt;0,K155&lt;=Podsumowanie!E$9),"tak","nie")</f>
        <v>nie</v>
      </c>
      <c r="R155" s="41"/>
      <c r="S155" s="42"/>
      <c r="T155" s="88">
        <f t="shared" si="117"/>
        <v>-328.58897837881506</v>
      </c>
      <c r="U155" s="89">
        <f>IF(Q155="tak",T155,IF(P155-SUM(AB$5:AB155)+1&gt;0,IF(Podsumowanie!E$7&lt;B155,IF(SUM(AB$5:AB155)-Podsumowanie!E$9+1&gt;0,PMT(M155/12,P155+1-SUM(AB$5:AB155),O155),T155),0),0))</f>
        <v>-1348.9600309019393</v>
      </c>
      <c r="V155" s="89">
        <f t="shared" si="141"/>
        <v>-1020.3710525231243</v>
      </c>
      <c r="W155" s="90" t="str">
        <f>IF(R155&gt;0,R155/(C155*(1-Podsumowanie!E$11))," ")</f>
        <v xml:space="preserve"> </v>
      </c>
      <c r="X155" s="90" t="str">
        <f t="shared" si="160"/>
        <v xml:space="preserve"> </v>
      </c>
      <c r="Y155" s="91">
        <f t="shared" si="164"/>
        <v>-148.9803518787366</v>
      </c>
      <c r="Z155" s="90">
        <f>IF(P155-SUM(AB$5:AB155)+1&gt;0,IF(Podsumowanie!E$7&lt;B155,IF(SUM(AB$5:AB155)-Podsumowanie!E$9+1&gt;0,PMT(M155/12,P155+1-SUM(AB$5:AB155),N155),Y155),0),0)</f>
        <v>-611.6107152030978</v>
      </c>
      <c r="AA155" s="90">
        <f t="shared" si="134"/>
        <v>-462.6303633243612</v>
      </c>
      <c r="AB155" s="8">
        <f>IF(AND(Podsumowanie!E$7&lt;B155,SUM(AB$5:AB154)&lt;P154),1," ")</f>
        <v>1</v>
      </c>
      <c r="AD155" s="10">
        <f>Podsumowanie!E$4-SUM(AF$5:AF154)+SUM(W$42:W155)-SUM(X$42:X155)</f>
        <v>139428.29813555224</v>
      </c>
      <c r="AE155" s="10">
        <f t="shared" si="118"/>
        <v>140.59</v>
      </c>
      <c r="AF155" s="10">
        <f t="shared" si="119"/>
        <v>505.17</v>
      </c>
      <c r="AG155" s="10">
        <f t="shared" si="132"/>
        <v>645.76</v>
      </c>
      <c r="AH155" s="10">
        <f t="shared" si="161"/>
        <v>2269.03</v>
      </c>
      <c r="AI155" s="10">
        <f>Podsumowanie!E$2-SUM(AK$5:AK154)+SUM(R$42:R155)-SUM(S$42:S155)</f>
        <v>307520.5799999999</v>
      </c>
      <c r="AJ155" s="10">
        <f t="shared" si="120"/>
        <v>310.08</v>
      </c>
      <c r="AK155" s="10">
        <f t="shared" si="121"/>
        <v>1114.21</v>
      </c>
      <c r="AL155" s="10">
        <f t="shared" si="122"/>
        <v>1424.29</v>
      </c>
      <c r="AM155" s="10">
        <f t="shared" si="123"/>
        <v>844.7400000000002</v>
      </c>
      <c r="AO155" s="43">
        <f t="shared" si="162"/>
        <v>41821</v>
      </c>
      <c r="AP155" s="11">
        <f>AP$5+SUM(AS$5:AS154)-SUM(X$5:X155)+SUM(W$5:W155)</f>
        <v>143316.63602218957</v>
      </c>
      <c r="AQ155" s="10">
        <f t="shared" si="124"/>
        <v>-144.51094132237446</v>
      </c>
      <c r="AR155" s="10">
        <f>IF(AB155=1,IF(Q155="tak",AQ155,PMT(M155/12,P155+1-SUM(AB$5:AB155),AP155)),0)</f>
        <v>-593.2623937470048</v>
      </c>
      <c r="AS155" s="10">
        <f t="shared" si="125"/>
        <v>-448.7514524246303</v>
      </c>
      <c r="AT155" s="10">
        <f t="shared" si="126"/>
        <v>-2023.855330028532</v>
      </c>
      <c r="AV155" s="11">
        <f>AV$5+SUM(AX$5:AX154)+SUM(W$5:W154)-SUM(X$5:X154)</f>
        <v>135245.30719148566</v>
      </c>
      <c r="AW155" s="11">
        <f t="shared" si="127"/>
        <v>-144.51094132237446</v>
      </c>
      <c r="AX155" s="11">
        <f t="shared" si="128"/>
        <v>-490.02</v>
      </c>
      <c r="AY155" s="11">
        <f t="shared" si="133"/>
        <v>-634.5309413223745</v>
      </c>
      <c r="AZ155" s="11">
        <f t="shared" si="163"/>
        <v>-2164.638853227148</v>
      </c>
      <c r="BB155" s="191">
        <f t="shared" si="144"/>
        <v>0.0268</v>
      </c>
      <c r="BC155" s="44">
        <f>BB155+Podsumowanie!$E$6</f>
        <v>0.0388</v>
      </c>
      <c r="BD155" s="11">
        <f>BD$5+SUM(BE$5:BE154)+SUM(R$5:R154)-SUM(S$5:S154)</f>
        <v>356009.8081655092</v>
      </c>
      <c r="BE155" s="10">
        <f t="shared" si="135"/>
        <v>-796.4146426848238</v>
      </c>
      <c r="BF155" s="10">
        <f t="shared" si="130"/>
        <v>-1151.0983797351464</v>
      </c>
      <c r="BG155" s="10">
        <f>IF(U155&lt;0,PMT(BC155/12,Podsumowanie!E$8-SUM(AB$5:AB155)+1,BD155),0)</f>
        <v>-1947.5130224199702</v>
      </c>
      <c r="BI155" s="11">
        <f>BI$5+SUM(BK$5:BK154)+SUM(R$5:R154)-SUM(S$5:S154)</f>
        <v>307520.8913649024</v>
      </c>
      <c r="BJ155" s="11">
        <f t="shared" si="138"/>
        <v>-994.3175487465177</v>
      </c>
      <c r="BK155" s="11">
        <f t="shared" si="139"/>
        <v>-1114.2061281337042</v>
      </c>
      <c r="BL155" s="11">
        <f t="shared" si="140"/>
        <v>-2108.523676880222</v>
      </c>
      <c r="BN155" s="44">
        <f t="shared" si="145"/>
        <v>0.038900000000000004</v>
      </c>
      <c r="BO155" s="11">
        <f>BO$5+SUM(BP$5:BP154)+SUM(R$5:R154)-SUM(S$5:S154)+SUM(BS$5:BS154)</f>
        <v>388672.6378194659</v>
      </c>
      <c r="BP155" s="10">
        <f t="shared" si="154"/>
        <v>-868.3400576093766</v>
      </c>
      <c r="BQ155" s="10">
        <f t="shared" si="155"/>
        <v>-1259.9471342647687</v>
      </c>
      <c r="BR155" s="10">
        <f>IF(U155&lt;0,PMT(BN155/12,Podsumowanie!E$8-SUM(AB$5:AB155)+1,BO155),0)</f>
        <v>-2128.2871918741453</v>
      </c>
      <c r="BS155" s="10">
        <f t="shared" si="149"/>
        <v>-20.75506578501836</v>
      </c>
      <c r="BU155" s="11">
        <f>BU$5+SUM(BW$5:BW154)+SUM(R$5:R154)-SUM(S$5:S154)+SUM(BY$5,BY154)</f>
        <v>307335.05068881623</v>
      </c>
      <c r="BV155" s="10">
        <f t="shared" si="146"/>
        <v>-996.2777893162461</v>
      </c>
      <c r="BW155" s="10">
        <f t="shared" si="147"/>
        <v>-1113.5327923507834</v>
      </c>
      <c r="BX155" s="10">
        <f t="shared" si="156"/>
        <v>-2109.8105816670295</v>
      </c>
      <c r="BY155" s="10">
        <f t="shared" si="157"/>
        <v>-39.231675992134114</v>
      </c>
      <c r="CA155" s="10">
        <f>CA$5+SUM(CB$5:CB154)+SUM(R$5:R154)-SUM(S$5:S154)-SUM(CC$5:CC154)</f>
        <v>371084.7996373419</v>
      </c>
      <c r="CB155" s="10">
        <f t="shared" si="150"/>
        <v>996.2777893162461</v>
      </c>
      <c r="CC155" s="10">
        <f t="shared" si="151"/>
        <v>2149.0422576591636</v>
      </c>
      <c r="CD155" s="10">
        <f t="shared" si="152"/>
        <v>1152.7644683429176</v>
      </c>
      <c r="CF155" s="44">
        <f t="shared" si="148"/>
        <v>0.451</v>
      </c>
      <c r="CG155" s="10">
        <f t="shared" si="153"/>
        <v>-969.22</v>
      </c>
      <c r="CH155" s="4">
        <f t="shared" si="158"/>
        <v>0</v>
      </c>
    </row>
    <row r="156" spans="1:86" ht="15.75">
      <c r="A156" s="36"/>
      <c r="B156" s="37">
        <v>41852</v>
      </c>
      <c r="C156" s="77">
        <f t="shared" si="142"/>
        <v>3.4602</v>
      </c>
      <c r="D156" s="78">
        <f>C156*(1+Podsumowanie!E$11)</f>
        <v>3.564006</v>
      </c>
      <c r="E156" s="34">
        <f t="shared" si="115"/>
        <v>-611.6107152030977</v>
      </c>
      <c r="F156" s="7">
        <f t="shared" si="136"/>
        <v>-2179.7842586481315</v>
      </c>
      <c r="G156" s="7">
        <f t="shared" si="116"/>
        <v>-1348.960030901939</v>
      </c>
      <c r="H156" s="7">
        <f t="shared" si="137"/>
        <v>830.8242277461925</v>
      </c>
      <c r="I156" s="32"/>
      <c r="J156" s="4" t="str">
        <f t="shared" si="159"/>
        <v xml:space="preserve"> </v>
      </c>
      <c r="K156" s="4">
        <f>IF(B156&lt;Podsumowanie!E$7,0,K155+1)</f>
        <v>86</v>
      </c>
      <c r="L156" s="100">
        <f t="shared" si="143"/>
        <v>0.0001</v>
      </c>
      <c r="M156" s="38">
        <f>L156+Podsumowanie!E$6</f>
        <v>0.0121</v>
      </c>
      <c r="N156" s="101">
        <f>MAX(Podsumowanie!E$4+SUM(AA$5:AA155)-SUM(X$5:X156)+SUM(W$5:W156),0)</f>
        <v>147286.47893790202</v>
      </c>
      <c r="O156" s="102">
        <f>MAX(Podsumowanie!E$2+SUM(V$5:V155)-SUM(S$5:S156)+SUM(R$5:R156),0)</f>
        <v>324852.9959347315</v>
      </c>
      <c r="P156" s="39">
        <f t="shared" si="131"/>
        <v>360</v>
      </c>
      <c r="Q156" s="40" t="str">
        <f>IF(AND(K156&gt;0,K156&lt;=Podsumowanie!E$9),"tak","nie")</f>
        <v>nie</v>
      </c>
      <c r="R156" s="41"/>
      <c r="S156" s="42"/>
      <c r="T156" s="88">
        <f t="shared" si="117"/>
        <v>-327.5601042341876</v>
      </c>
      <c r="U156" s="89">
        <f>IF(Q156="tak",T156,IF(P156-SUM(AB$5:AB156)+1&gt;0,IF(Podsumowanie!E$7&lt;B156,IF(SUM(AB$5:AB156)-Podsumowanie!E$9+1&gt;0,PMT(M156/12,P156+1-SUM(AB$5:AB156),O156),T156),0),0))</f>
        <v>-1348.960030901939</v>
      </c>
      <c r="V156" s="89">
        <f t="shared" si="141"/>
        <v>-1021.3999266677515</v>
      </c>
      <c r="W156" s="90" t="str">
        <f>IF(R156&gt;0,R156/(C156*(1-Podsumowanie!E$11))," ")</f>
        <v xml:space="preserve"> </v>
      </c>
      <c r="X156" s="90" t="str">
        <f t="shared" si="160"/>
        <v xml:space="preserve"> </v>
      </c>
      <c r="Y156" s="91">
        <f t="shared" si="164"/>
        <v>-148.51386626238454</v>
      </c>
      <c r="Z156" s="90">
        <f>IF(P156-SUM(AB$5:AB156)+1&gt;0,IF(Podsumowanie!E$7&lt;B156,IF(SUM(AB$5:AB156)-Podsumowanie!E$9+1&gt;0,PMT(M156/12,P156+1-SUM(AB$5:AB156),N156),Y156),0),0)</f>
        <v>-611.6107152030977</v>
      </c>
      <c r="AA156" s="90">
        <f t="shared" si="134"/>
        <v>-463.09684894071313</v>
      </c>
      <c r="AB156" s="8">
        <f>IF(AND(Podsumowanie!E$7&lt;B156,SUM(AB$5:AB155)&lt;P155),1," ")</f>
        <v>1</v>
      </c>
      <c r="AD156" s="10">
        <f>Podsumowanie!E$4-SUM(AF$5:AF155)+SUM(W$42:W156)-SUM(X$42:X156)</f>
        <v>138923.12813555222</v>
      </c>
      <c r="AE156" s="10">
        <f t="shared" si="118"/>
        <v>140.08</v>
      </c>
      <c r="AF156" s="10">
        <f t="shared" si="119"/>
        <v>505.18</v>
      </c>
      <c r="AG156" s="10">
        <f t="shared" si="132"/>
        <v>645.26</v>
      </c>
      <c r="AH156" s="10">
        <f t="shared" si="161"/>
        <v>2299.71</v>
      </c>
      <c r="AI156" s="10">
        <f>Podsumowanie!E$2-SUM(AK$5:AK155)+SUM(R$42:R156)-SUM(S$42:S156)</f>
        <v>306406.3699999999</v>
      </c>
      <c r="AJ156" s="10">
        <f t="shared" si="120"/>
        <v>308.96</v>
      </c>
      <c r="AK156" s="10">
        <f t="shared" si="121"/>
        <v>1114.2</v>
      </c>
      <c r="AL156" s="10">
        <f t="shared" si="122"/>
        <v>1423.16</v>
      </c>
      <c r="AM156" s="10">
        <f t="shared" si="123"/>
        <v>876.55</v>
      </c>
      <c r="AO156" s="43">
        <f t="shared" si="162"/>
        <v>41852</v>
      </c>
      <c r="AP156" s="11">
        <f>AP$5+SUM(AS$5:AS155)-SUM(X$5:X156)+SUM(W$5:W156)</f>
        <v>142867.88456976495</v>
      </c>
      <c r="AQ156" s="10">
        <f t="shared" si="124"/>
        <v>-144.05845027451298</v>
      </c>
      <c r="AR156" s="10">
        <f>IF(AB156=1,IF(Q156="tak",AQ156,PMT(M156/12,P156+1-SUM(AB$5:AB156),AP156)),0)</f>
        <v>-593.2623937470047</v>
      </c>
      <c r="AS156" s="10">
        <f t="shared" si="125"/>
        <v>-449.2039434724917</v>
      </c>
      <c r="AT156" s="10">
        <f t="shared" si="126"/>
        <v>-2052.8065348433856</v>
      </c>
      <c r="AV156" s="11">
        <f>AV$5+SUM(AX$5:AX155)+SUM(W$5:W155)-SUM(X$5:X155)</f>
        <v>134755.28719148567</v>
      </c>
      <c r="AW156" s="11">
        <f t="shared" si="127"/>
        <v>-144.05845027451298</v>
      </c>
      <c r="AX156" s="11">
        <f t="shared" si="128"/>
        <v>-490.02</v>
      </c>
      <c r="AY156" s="11">
        <f t="shared" si="133"/>
        <v>-634.078450274513</v>
      </c>
      <c r="AZ156" s="11">
        <f t="shared" si="163"/>
        <v>-2194.0382536398697</v>
      </c>
      <c r="BB156" s="191">
        <f t="shared" si="144"/>
        <v>0.0265</v>
      </c>
      <c r="BC156" s="44">
        <f>BB156+Podsumowanie!$E$6</f>
        <v>0.0385</v>
      </c>
      <c r="BD156" s="11">
        <f>BD$5+SUM(BE$5:BE155)+SUM(R$5:R155)-SUM(S$5:S155)</f>
        <v>355213.39352282434</v>
      </c>
      <c r="BE156" s="10">
        <f t="shared" si="135"/>
        <v>-802.1347921395263</v>
      </c>
      <c r="BF156" s="10">
        <f t="shared" si="130"/>
        <v>-1139.6429708857281</v>
      </c>
      <c r="BG156" s="10">
        <f>IF(U156&lt;0,PMT(BC156/12,Podsumowanie!E$8-SUM(AB$5:AB156)+1,BD156),0)</f>
        <v>-1941.7777630252544</v>
      </c>
      <c r="BI156" s="11">
        <f>BI$5+SUM(BK$5:BK155)+SUM(R$5:R155)-SUM(S$5:S155)</f>
        <v>306406.6852367687</v>
      </c>
      <c r="BJ156" s="11">
        <f t="shared" si="138"/>
        <v>-983.0547818012996</v>
      </c>
      <c r="BK156" s="11">
        <f t="shared" si="139"/>
        <v>-1114.2061281337044</v>
      </c>
      <c r="BL156" s="11">
        <f t="shared" si="140"/>
        <v>-2097.260909935004</v>
      </c>
      <c r="BN156" s="44">
        <f t="shared" si="145"/>
        <v>0.038599999999999995</v>
      </c>
      <c r="BO156" s="11">
        <f>BO$5+SUM(BP$5:BP155)+SUM(R$5:R155)-SUM(S$5:S155)+SUM(BS$5:BS155)</f>
        <v>387783.5426960715</v>
      </c>
      <c r="BP156" s="10">
        <f t="shared" si="154"/>
        <v>-874.5383364513061</v>
      </c>
      <c r="BQ156" s="10">
        <f t="shared" si="155"/>
        <v>-1247.3703956723632</v>
      </c>
      <c r="BR156" s="10">
        <f>IF(U156&lt;0,PMT(BN156/12,Podsumowanie!E$8-SUM(AB$5:AB156)+1,BO156),0)</f>
        <v>-2121.9087321236693</v>
      </c>
      <c r="BS156" s="10">
        <f t="shared" si="149"/>
        <v>-57.8755265244622</v>
      </c>
      <c r="BU156" s="11">
        <f>BU$5+SUM(BW$5:BW155)+SUM(R$5:R155)-SUM(S$5:S155)+SUM(BY$5,BY155)</f>
        <v>306205.99425887596</v>
      </c>
      <c r="BV156" s="10">
        <f t="shared" si="146"/>
        <v>-984.9626148660509</v>
      </c>
      <c r="BW156" s="10">
        <f t="shared" si="147"/>
        <v>-1113.476342759549</v>
      </c>
      <c r="BX156" s="10">
        <f t="shared" si="156"/>
        <v>-2098.4389576256</v>
      </c>
      <c r="BY156" s="10">
        <f t="shared" si="157"/>
        <v>-81.34530102253166</v>
      </c>
      <c r="CA156" s="10">
        <f>CA$5+SUM(CB$5:CB155)+SUM(R$5:R155)-SUM(S$5:S155)-SUM(CC$5:CC155)</f>
        <v>369932.035168999</v>
      </c>
      <c r="CB156" s="10">
        <f t="shared" si="150"/>
        <v>984.9626148660509</v>
      </c>
      <c r="CC156" s="10">
        <f t="shared" si="151"/>
        <v>2179.7842586481315</v>
      </c>
      <c r="CD156" s="10">
        <f t="shared" si="152"/>
        <v>1194.8216437820806</v>
      </c>
      <c r="CF156" s="44">
        <f t="shared" si="148"/>
        <v>0.4568</v>
      </c>
      <c r="CG156" s="10">
        <f t="shared" si="153"/>
        <v>-995.73</v>
      </c>
      <c r="CH156" s="4">
        <f t="shared" si="158"/>
        <v>0</v>
      </c>
    </row>
    <row r="157" spans="1:86" ht="15.75">
      <c r="A157" s="36"/>
      <c r="B157" s="37">
        <v>41883</v>
      </c>
      <c r="C157" s="77">
        <f t="shared" si="142"/>
        <v>3.4695</v>
      </c>
      <c r="D157" s="78">
        <f>C157*(1+Podsumowanie!E$11)</f>
        <v>3.573585</v>
      </c>
      <c r="E157" s="34">
        <f t="shared" si="115"/>
        <v>-611.6107152030977</v>
      </c>
      <c r="F157" s="7">
        <f t="shared" si="136"/>
        <v>-2185.642877689062</v>
      </c>
      <c r="G157" s="7">
        <f t="shared" si="116"/>
        <v>-1348.9600309019393</v>
      </c>
      <c r="H157" s="7">
        <f t="shared" si="137"/>
        <v>836.6828467871228</v>
      </c>
      <c r="I157" s="32"/>
      <c r="J157" s="4" t="str">
        <f t="shared" si="159"/>
        <v xml:space="preserve"> </v>
      </c>
      <c r="K157" s="4">
        <f>IF(B157&lt;Podsumowanie!E$7,0,K156+1)</f>
        <v>87</v>
      </c>
      <c r="L157" s="100">
        <f t="shared" si="143"/>
        <v>0.0001</v>
      </c>
      <c r="M157" s="38">
        <f>L157+Podsumowanie!E$6</f>
        <v>0.0121</v>
      </c>
      <c r="N157" s="101">
        <f>MAX(Podsumowanie!E$4+SUM(AA$5:AA156)-SUM(X$5:X157)+SUM(W$5:W157),0)</f>
        <v>146823.3820889613</v>
      </c>
      <c r="O157" s="102">
        <f>MAX(Podsumowanie!E$2+SUM(V$5:V156)-SUM(S$5:S157)+SUM(R$5:R157),0)</f>
        <v>323831.59600806376</v>
      </c>
      <c r="P157" s="39">
        <f t="shared" si="131"/>
        <v>360</v>
      </c>
      <c r="Q157" s="40" t="str">
        <f>IF(AND(K157&gt;0,K157&lt;=Podsumowanie!E$9),"tak","nie")</f>
        <v>nie</v>
      </c>
      <c r="R157" s="41"/>
      <c r="S157" s="42"/>
      <c r="T157" s="88">
        <f t="shared" si="117"/>
        <v>-326.5301926414643</v>
      </c>
      <c r="U157" s="89">
        <f>IF(Q157="tak",T157,IF(P157-SUM(AB$5:AB157)+1&gt;0,IF(Podsumowanie!E$7&lt;B157,IF(SUM(AB$5:AB157)-Podsumowanie!E$9+1&gt;0,PMT(M157/12,P157+1-SUM(AB$5:AB157),O157),T157),0),0))</f>
        <v>-1348.9600309019393</v>
      </c>
      <c r="V157" s="89">
        <f t="shared" si="141"/>
        <v>-1022.429838260475</v>
      </c>
      <c r="W157" s="90" t="str">
        <f>IF(R157&gt;0,R157/(C157*(1-Podsumowanie!E$11))," ")</f>
        <v xml:space="preserve"> </v>
      </c>
      <c r="X157" s="90" t="str">
        <f t="shared" si="160"/>
        <v xml:space="preserve"> </v>
      </c>
      <c r="Y157" s="91">
        <f t="shared" si="164"/>
        <v>-148.046910273036</v>
      </c>
      <c r="Z157" s="90">
        <f>IF(P157-SUM(AB$5:AB157)+1&gt;0,IF(Podsumowanie!E$7&lt;B157,IF(SUM(AB$5:AB157)-Podsumowanie!E$9+1&gt;0,PMT(M157/12,P157+1-SUM(AB$5:AB157),N157),Y157),0),0)</f>
        <v>-611.6107152030977</v>
      </c>
      <c r="AA157" s="90">
        <f t="shared" si="134"/>
        <v>-463.5638049300617</v>
      </c>
      <c r="AB157" s="8">
        <f>IF(AND(Podsumowanie!E$7&lt;B157,SUM(AB$5:AB156)&lt;P156),1," ")</f>
        <v>1</v>
      </c>
      <c r="AD157" s="10">
        <f>Podsumowanie!E$4-SUM(AF$5:AF156)+SUM(W$42:W157)-SUM(X$42:X157)</f>
        <v>138417.94813555223</v>
      </c>
      <c r="AE157" s="10">
        <f t="shared" si="118"/>
        <v>139.57</v>
      </c>
      <c r="AF157" s="10">
        <f t="shared" si="119"/>
        <v>505.17</v>
      </c>
      <c r="AG157" s="10">
        <f t="shared" si="132"/>
        <v>644.74</v>
      </c>
      <c r="AH157" s="10">
        <f t="shared" si="161"/>
        <v>2304.03</v>
      </c>
      <c r="AI157" s="10">
        <f>Podsumowanie!E$2-SUM(AK$5:AK156)+SUM(R$42:R157)-SUM(S$42:S157)</f>
        <v>305292.1699999999</v>
      </c>
      <c r="AJ157" s="10">
        <f t="shared" si="120"/>
        <v>307.84</v>
      </c>
      <c r="AK157" s="10">
        <f t="shared" si="121"/>
        <v>1114.21</v>
      </c>
      <c r="AL157" s="10">
        <f t="shared" si="122"/>
        <v>1422.05</v>
      </c>
      <c r="AM157" s="10">
        <f t="shared" si="123"/>
        <v>881.9800000000002</v>
      </c>
      <c r="AO157" s="43">
        <f t="shared" si="162"/>
        <v>41883</v>
      </c>
      <c r="AP157" s="11">
        <f>AP$5+SUM(AS$5:AS156)-SUM(X$5:X157)+SUM(W$5:W157)</f>
        <v>142418.68062629245</v>
      </c>
      <c r="AQ157" s="10">
        <f t="shared" si="124"/>
        <v>-143.60550296484487</v>
      </c>
      <c r="AR157" s="10">
        <f>IF(AB157=1,IF(Q157="tak",AQ157,PMT(M157/12,P157+1-SUM(AB$5:AB157),AP157)),0)</f>
        <v>-593.2623937470047</v>
      </c>
      <c r="AS157" s="10">
        <f t="shared" si="125"/>
        <v>-449.65689078215985</v>
      </c>
      <c r="AT157" s="10">
        <f t="shared" si="126"/>
        <v>-2058.3238751052327</v>
      </c>
      <c r="AV157" s="11">
        <f>AV$5+SUM(AX$5:AX156)+SUM(W$5:W156)-SUM(X$5:X156)</f>
        <v>134265.26719148568</v>
      </c>
      <c r="AW157" s="11">
        <f t="shared" si="127"/>
        <v>-143.60550296484487</v>
      </c>
      <c r="AX157" s="11">
        <f t="shared" si="128"/>
        <v>-490.02</v>
      </c>
      <c r="AY157" s="11">
        <f t="shared" si="133"/>
        <v>-633.6255029648448</v>
      </c>
      <c r="AZ157" s="11">
        <f t="shared" si="163"/>
        <v>-2198.3636825365293</v>
      </c>
      <c r="BB157" s="191">
        <f t="shared" si="144"/>
        <v>0.0245</v>
      </c>
      <c r="BC157" s="44">
        <f>BB157+Podsumowanie!$E$6</f>
        <v>0.036500000000000005</v>
      </c>
      <c r="BD157" s="11">
        <f>BD$5+SUM(BE$5:BE156)+SUM(R$5:R156)-SUM(S$5:S156)</f>
        <v>354411.2587306848</v>
      </c>
      <c r="BE157" s="10">
        <f t="shared" si="135"/>
        <v>-825.8966127753151</v>
      </c>
      <c r="BF157" s="10">
        <f t="shared" si="130"/>
        <v>-1078.0009119724998</v>
      </c>
      <c r="BG157" s="10">
        <f>IF(U157&lt;0,PMT(BC157/12,Podsumowanie!E$8-SUM(AB$5:AB157)+1,BD157),0)</f>
        <v>-1903.897524747815</v>
      </c>
      <c r="BI157" s="11">
        <f>BI$5+SUM(BK$5:BK156)+SUM(R$5:R156)-SUM(S$5:S156)</f>
        <v>305292.479108635</v>
      </c>
      <c r="BJ157" s="11">
        <f t="shared" si="138"/>
        <v>-928.5979572887649</v>
      </c>
      <c r="BK157" s="11">
        <f t="shared" si="139"/>
        <v>-1114.2061281337044</v>
      </c>
      <c r="BL157" s="11">
        <f t="shared" si="140"/>
        <v>-2042.8040854224691</v>
      </c>
      <c r="BN157" s="44">
        <f t="shared" si="145"/>
        <v>0.0366</v>
      </c>
      <c r="BO157" s="11">
        <f>BO$5+SUM(BP$5:BP156)+SUM(R$5:R156)-SUM(S$5:S156)+SUM(BS$5:BS156)</f>
        <v>386851.1288330957</v>
      </c>
      <c r="BP157" s="10">
        <f t="shared" si="154"/>
        <v>-900.3251257672841</v>
      </c>
      <c r="BQ157" s="10">
        <f t="shared" si="155"/>
        <v>-1179.895942940942</v>
      </c>
      <c r="BR157" s="10">
        <f>IF(U157&lt;0,PMT(BN157/12,Podsumowanie!E$8-SUM(AB$5:AB157)+1,BO157),0)</f>
        <v>-2080.221068708226</v>
      </c>
      <c r="BS157" s="10">
        <f t="shared" si="149"/>
        <v>-105.42180898083598</v>
      </c>
      <c r="BU157" s="11">
        <f>BU$5+SUM(BW$5:BW156)+SUM(R$5:R156)-SUM(S$5:S156)+SUM(BY$5,BY156)</f>
        <v>305050.404291086</v>
      </c>
      <c r="BV157" s="10">
        <f t="shared" si="146"/>
        <v>-930.4037330878124</v>
      </c>
      <c r="BW157" s="10">
        <f t="shared" si="147"/>
        <v>-1113.3226433981242</v>
      </c>
      <c r="BX157" s="10">
        <f t="shared" si="156"/>
        <v>-2043.7263764859367</v>
      </c>
      <c r="BY157" s="10">
        <f t="shared" si="157"/>
        <v>-141.91650120312534</v>
      </c>
      <c r="CA157" s="10">
        <f>CA$5+SUM(CB$5:CB156)+SUM(R$5:R156)-SUM(S$5:S156)-SUM(CC$5:CC156)</f>
        <v>368737.2135252169</v>
      </c>
      <c r="CB157" s="10">
        <f t="shared" si="150"/>
        <v>930.4037330878124</v>
      </c>
      <c r="CC157" s="10">
        <f t="shared" si="151"/>
        <v>2185.642877689062</v>
      </c>
      <c r="CD157" s="10">
        <f t="shared" si="152"/>
        <v>1255.2391446012498</v>
      </c>
      <c r="CF157" s="44">
        <f t="shared" si="148"/>
        <v>0.4568</v>
      </c>
      <c r="CG157" s="10">
        <f t="shared" si="153"/>
        <v>-998.4</v>
      </c>
      <c r="CH157" s="4">
        <f t="shared" si="158"/>
        <v>0</v>
      </c>
    </row>
    <row r="158" spans="1:86" ht="15.75">
      <c r="A158" s="36"/>
      <c r="B158" s="37">
        <v>41913</v>
      </c>
      <c r="C158" s="77">
        <f t="shared" si="142"/>
        <v>3.4814</v>
      </c>
      <c r="D158" s="78">
        <f>C158*(1+Podsumowanie!E$11)</f>
        <v>3.585842</v>
      </c>
      <c r="E158" s="34">
        <f t="shared" si="115"/>
        <v>-611.6107152030977</v>
      </c>
      <c r="F158" s="7">
        <f t="shared" si="136"/>
        <v>-2193.139390225306</v>
      </c>
      <c r="G158" s="7">
        <f t="shared" si="116"/>
        <v>-1348.960030901939</v>
      </c>
      <c r="H158" s="7">
        <f t="shared" si="137"/>
        <v>844.1793593233672</v>
      </c>
      <c r="I158" s="32"/>
      <c r="J158" s="4" t="str">
        <f t="shared" si="159"/>
        <v xml:space="preserve"> </v>
      </c>
      <c r="K158" s="4">
        <f>IF(B158&lt;Podsumowanie!E$7,0,K157+1)</f>
        <v>88</v>
      </c>
      <c r="L158" s="100">
        <f t="shared" si="143"/>
        <v>0.0001</v>
      </c>
      <c r="M158" s="38">
        <f>L158+Podsumowanie!E$6</f>
        <v>0.0121</v>
      </c>
      <c r="N158" s="101">
        <f>MAX(Podsumowanie!E$4+SUM(AA$5:AA157)-SUM(X$5:X158)+SUM(W$5:W158),0)</f>
        <v>146359.81828403124</v>
      </c>
      <c r="O158" s="102">
        <f>MAX(Podsumowanie!E$2+SUM(V$5:V157)-SUM(S$5:S158)+SUM(R$5:R158),0)</f>
        <v>322809.16616980324</v>
      </c>
      <c r="P158" s="39">
        <f t="shared" si="131"/>
        <v>360</v>
      </c>
      <c r="Q158" s="40" t="str">
        <f>IF(AND(K158&gt;0,K158&lt;=Podsumowanie!E$9),"tak","nie")</f>
        <v>nie</v>
      </c>
      <c r="R158" s="41"/>
      <c r="S158" s="42"/>
      <c r="T158" s="88">
        <f t="shared" si="117"/>
        <v>-325.4992425545516</v>
      </c>
      <c r="U158" s="89">
        <f>IF(Q158="tak",T158,IF(P158-SUM(AB$5:AB158)+1&gt;0,IF(Podsumowanie!E$7&lt;B158,IF(SUM(AB$5:AB158)-Podsumowanie!E$9+1&gt;0,PMT(M158/12,P158+1-SUM(AB$5:AB158),O158),T158),0),0))</f>
        <v>-1348.960030901939</v>
      </c>
      <c r="V158" s="89">
        <f t="shared" si="141"/>
        <v>-1023.4607883473875</v>
      </c>
      <c r="W158" s="90" t="str">
        <f>IF(R158&gt;0,R158/(C158*(1-Podsumowanie!E$11))," ")</f>
        <v xml:space="preserve"> </v>
      </c>
      <c r="X158" s="90" t="str">
        <f t="shared" si="160"/>
        <v xml:space="preserve"> </v>
      </c>
      <c r="Y158" s="91">
        <f t="shared" si="164"/>
        <v>-147.57948343639816</v>
      </c>
      <c r="Z158" s="90">
        <f>IF(P158-SUM(AB$5:AB158)+1&gt;0,IF(Podsumowanie!E$7&lt;B158,IF(SUM(AB$5:AB158)-Podsumowanie!E$9+1&gt;0,PMT(M158/12,P158+1-SUM(AB$5:AB158),N158),Y158),0),0)</f>
        <v>-611.6107152030977</v>
      </c>
      <c r="AA158" s="90">
        <f t="shared" si="134"/>
        <v>-464.03123176669953</v>
      </c>
      <c r="AB158" s="8">
        <f>IF(AND(Podsumowanie!E$7&lt;B158,SUM(AB$5:AB157)&lt;P157),1," ")</f>
        <v>1</v>
      </c>
      <c r="AD158" s="10">
        <f>Podsumowanie!E$4-SUM(AF$5:AF157)+SUM(W$42:W158)-SUM(X$42:X158)</f>
        <v>137912.77813555225</v>
      </c>
      <c r="AE158" s="10">
        <f t="shared" si="118"/>
        <v>139.06</v>
      </c>
      <c r="AF158" s="10">
        <f t="shared" si="119"/>
        <v>505.18</v>
      </c>
      <c r="AG158" s="10">
        <f t="shared" si="132"/>
        <v>644.24</v>
      </c>
      <c r="AH158" s="10">
        <f t="shared" si="161"/>
        <v>2310.14</v>
      </c>
      <c r="AI158" s="10">
        <f>Podsumowanie!E$2-SUM(AK$5:AK157)+SUM(R$42:R158)-SUM(S$42:S158)</f>
        <v>304177.9599999999</v>
      </c>
      <c r="AJ158" s="10">
        <f t="shared" si="120"/>
        <v>306.71</v>
      </c>
      <c r="AK158" s="10">
        <f t="shared" si="121"/>
        <v>1114.2</v>
      </c>
      <c r="AL158" s="10">
        <f t="shared" si="122"/>
        <v>1420.91</v>
      </c>
      <c r="AM158" s="10">
        <f t="shared" si="123"/>
        <v>889.2299999999998</v>
      </c>
      <c r="AO158" s="43">
        <f t="shared" si="162"/>
        <v>41913</v>
      </c>
      <c r="AP158" s="11">
        <f>AP$5+SUM(AS$5:AS157)-SUM(X$5:X158)+SUM(W$5:W158)</f>
        <v>141969.0237355103</v>
      </c>
      <c r="AQ158" s="10">
        <f t="shared" si="124"/>
        <v>-143.15209893330623</v>
      </c>
      <c r="AR158" s="10">
        <f>IF(AB158=1,IF(Q158="tak",AQ158,PMT(M158/12,P158+1-SUM(AB$5:AB158),AP158)),0)</f>
        <v>-593.2623937470047</v>
      </c>
      <c r="AS158" s="10">
        <f t="shared" si="125"/>
        <v>-450.1102948136985</v>
      </c>
      <c r="AT158" s="10">
        <f t="shared" si="126"/>
        <v>-2065.383697590822</v>
      </c>
      <c r="AV158" s="11">
        <f>AV$5+SUM(AX$5:AX157)+SUM(W$5:W157)-SUM(X$5:X157)</f>
        <v>133775.24719148566</v>
      </c>
      <c r="AW158" s="11">
        <f t="shared" si="127"/>
        <v>-143.15209893330623</v>
      </c>
      <c r="AX158" s="11">
        <f t="shared" si="128"/>
        <v>-490.02</v>
      </c>
      <c r="AY158" s="11">
        <f t="shared" si="133"/>
        <v>-633.1720989333062</v>
      </c>
      <c r="AZ158" s="11">
        <f t="shared" si="163"/>
        <v>-2204.325345226412</v>
      </c>
      <c r="BB158" s="191">
        <f t="shared" si="144"/>
        <v>0.0207</v>
      </c>
      <c r="BC158" s="44">
        <f>BB158+Podsumowanie!$E$6</f>
        <v>0.0327</v>
      </c>
      <c r="BD158" s="11">
        <f>BD$5+SUM(BE$5:BE157)+SUM(R$5:R157)-SUM(S$5:S157)</f>
        <v>353585.3621179095</v>
      </c>
      <c r="BE158" s="10">
        <f t="shared" si="135"/>
        <v>-869.7768915485468</v>
      </c>
      <c r="BF158" s="10">
        <f t="shared" si="130"/>
        <v>-963.5201117713033</v>
      </c>
      <c r="BG158" s="10">
        <f>IF(U158&lt;0,PMT(BC158/12,Podsumowanie!E$8-SUM(AB$5:AB158)+1,BD158),0)</f>
        <v>-1833.29700331985</v>
      </c>
      <c r="BI158" s="11">
        <f>BI$5+SUM(BK$5:BK157)+SUM(R$5:R157)-SUM(S$5:S157)</f>
        <v>304178.27298050123</v>
      </c>
      <c r="BJ158" s="11">
        <f t="shared" si="138"/>
        <v>-828.8857938718658</v>
      </c>
      <c r="BK158" s="11">
        <f t="shared" si="139"/>
        <v>-1114.2061281337042</v>
      </c>
      <c r="BL158" s="11">
        <f t="shared" si="140"/>
        <v>-1943.0919220055698</v>
      </c>
      <c r="BN158" s="44">
        <f t="shared" si="145"/>
        <v>0.032799999999999996</v>
      </c>
      <c r="BO158" s="11">
        <f>BO$5+SUM(BP$5:BP157)+SUM(R$5:R157)-SUM(S$5:S157)+SUM(BS$5:BS157)</f>
        <v>385845.3818983476</v>
      </c>
      <c r="BP158" s="10">
        <f t="shared" si="154"/>
        <v>-947.9234152694075</v>
      </c>
      <c r="BQ158" s="10">
        <f t="shared" si="155"/>
        <v>-1054.6440438554832</v>
      </c>
      <c r="BR158" s="10">
        <f>IF(U158&lt;0,PMT(BN158/12,Podsumowanie!E$8-SUM(AB$5:AB158)+1,BO158),0)</f>
        <v>-2002.5674591248908</v>
      </c>
      <c r="BS158" s="10">
        <f t="shared" si="149"/>
        <v>-190.57193110041544</v>
      </c>
      <c r="BU158" s="11">
        <f>BU$5+SUM(BW$5:BW157)+SUM(R$5:R157)-SUM(S$5:S157)+SUM(BY$5,BY157)</f>
        <v>303876.51044750726</v>
      </c>
      <c r="BV158" s="10">
        <f t="shared" si="146"/>
        <v>-830.5957952231864</v>
      </c>
      <c r="BW158" s="10">
        <f t="shared" si="147"/>
        <v>-1113.10077086999</v>
      </c>
      <c r="BX158" s="10">
        <f t="shared" si="156"/>
        <v>-1943.6965660931764</v>
      </c>
      <c r="BY158" s="10">
        <f t="shared" si="157"/>
        <v>-249.44282413212977</v>
      </c>
      <c r="CA158" s="10">
        <f>CA$5+SUM(CB$5:CB157)+SUM(R$5:R157)-SUM(S$5:S157)-SUM(CC$5:CC157)</f>
        <v>367481.9743806157</v>
      </c>
      <c r="CB158" s="10">
        <f t="shared" si="150"/>
        <v>830.5957952231864</v>
      </c>
      <c r="CC158" s="10">
        <f t="shared" si="151"/>
        <v>2193.139390225306</v>
      </c>
      <c r="CD158" s="10">
        <f t="shared" si="152"/>
        <v>1362.5435950021197</v>
      </c>
      <c r="CF158" s="44">
        <f t="shared" si="148"/>
        <v>0.4568</v>
      </c>
      <c r="CG158" s="10">
        <f t="shared" si="153"/>
        <v>-1001.83</v>
      </c>
      <c r="CH158" s="4">
        <f t="shared" si="158"/>
        <v>0</v>
      </c>
    </row>
    <row r="159" spans="1:86" ht="15.75">
      <c r="A159" s="36"/>
      <c r="B159" s="37">
        <v>41944</v>
      </c>
      <c r="C159" s="77">
        <f t="shared" si="142"/>
        <v>3.5011</v>
      </c>
      <c r="D159" s="78">
        <f>C159*(1+Podsumowanie!E$11)</f>
        <v>3.6061330000000003</v>
      </c>
      <c r="E159" s="34">
        <f t="shared" si="115"/>
        <v>-611.6107152030978</v>
      </c>
      <c r="F159" s="7">
        <f t="shared" si="136"/>
        <v>-2205.549583247493</v>
      </c>
      <c r="G159" s="7">
        <f t="shared" si="116"/>
        <v>-1348.960030901939</v>
      </c>
      <c r="H159" s="7">
        <f t="shared" si="137"/>
        <v>856.589552345554</v>
      </c>
      <c r="I159" s="32"/>
      <c r="J159" s="4" t="str">
        <f t="shared" si="159"/>
        <v xml:space="preserve"> </v>
      </c>
      <c r="K159" s="4">
        <f>IF(B159&lt;Podsumowanie!E$7,0,K158+1)</f>
        <v>89</v>
      </c>
      <c r="L159" s="100">
        <f t="shared" si="143"/>
        <v>0.0001</v>
      </c>
      <c r="M159" s="38">
        <f>L159+Podsumowanie!E$6</f>
        <v>0.0121</v>
      </c>
      <c r="N159" s="101">
        <f>MAX(Podsumowanie!E$4+SUM(AA$5:AA158)-SUM(X$5:X159)+SUM(W$5:W159),0)</f>
        <v>145895.78705226455</v>
      </c>
      <c r="O159" s="102">
        <f>MAX(Podsumowanie!E$2+SUM(V$5:V158)-SUM(S$5:S159)+SUM(R$5:R159),0)</f>
        <v>321785.70538145583</v>
      </c>
      <c r="P159" s="39">
        <f t="shared" si="131"/>
        <v>360</v>
      </c>
      <c r="Q159" s="40" t="str">
        <f>IF(AND(K159&gt;0,K159&lt;=Podsumowanie!E$9),"tak","nie")</f>
        <v>nie</v>
      </c>
      <c r="R159" s="41"/>
      <c r="S159" s="42"/>
      <c r="T159" s="88">
        <f t="shared" si="117"/>
        <v>-324.4672529263013</v>
      </c>
      <c r="U159" s="89">
        <f>IF(Q159="tak",T159,IF(P159-SUM(AB$5:AB159)+1&gt;0,IF(Podsumowanie!E$7&lt;B159,IF(SUM(AB$5:AB159)-Podsumowanie!E$9+1&gt;0,PMT(M159/12,P159+1-SUM(AB$5:AB159),O159),T159),0),0))</f>
        <v>-1348.960030901939</v>
      </c>
      <c r="V159" s="89">
        <f t="shared" si="141"/>
        <v>-1024.4927779756376</v>
      </c>
      <c r="W159" s="90" t="str">
        <f>IF(R159&gt;0,R159/(C159*(1-Podsumowanie!E$11))," ")</f>
        <v xml:space="preserve"> </v>
      </c>
      <c r="X159" s="90" t="str">
        <f t="shared" si="160"/>
        <v xml:space="preserve"> </v>
      </c>
      <c r="Y159" s="91">
        <f t="shared" si="164"/>
        <v>-147.11158527770007</v>
      </c>
      <c r="Z159" s="90">
        <f>IF(P159-SUM(AB$5:AB159)+1&gt;0,IF(Podsumowanie!E$7&lt;B159,IF(SUM(AB$5:AB159)-Podsumowanie!E$9+1&gt;0,PMT(M159/12,P159+1-SUM(AB$5:AB159),N159),Y159),0),0)</f>
        <v>-611.6107152030978</v>
      </c>
      <c r="AA159" s="90">
        <f t="shared" si="134"/>
        <v>-464.4991299253977</v>
      </c>
      <c r="AB159" s="8">
        <f>IF(AND(Podsumowanie!E$7&lt;B159,SUM(AB$5:AB158)&lt;P158),1," ")</f>
        <v>1</v>
      </c>
      <c r="AD159" s="10">
        <f>Podsumowanie!E$4-SUM(AF$5:AF158)+SUM(W$42:W159)-SUM(X$42:X159)</f>
        <v>137407.59813555225</v>
      </c>
      <c r="AE159" s="10">
        <f t="shared" si="118"/>
        <v>138.55</v>
      </c>
      <c r="AF159" s="10">
        <f t="shared" si="119"/>
        <v>505.17</v>
      </c>
      <c r="AG159" s="10">
        <f t="shared" si="132"/>
        <v>643.72</v>
      </c>
      <c r="AH159" s="10">
        <f t="shared" si="161"/>
        <v>2321.34</v>
      </c>
      <c r="AI159" s="10">
        <f>Podsumowanie!E$2-SUM(AK$5:AK158)+SUM(R$42:R159)-SUM(S$42:S159)</f>
        <v>303063.7599999999</v>
      </c>
      <c r="AJ159" s="10">
        <f t="shared" si="120"/>
        <v>305.59</v>
      </c>
      <c r="AK159" s="10">
        <f t="shared" si="121"/>
        <v>1114.21</v>
      </c>
      <c r="AL159" s="10">
        <f t="shared" si="122"/>
        <v>1419.8</v>
      </c>
      <c r="AM159" s="10">
        <f t="shared" si="123"/>
        <v>901.5400000000002</v>
      </c>
      <c r="AO159" s="43">
        <f t="shared" si="162"/>
        <v>41944</v>
      </c>
      <c r="AP159" s="11">
        <f>AP$5+SUM(AS$5:AS158)-SUM(X$5:X159)+SUM(W$5:W159)</f>
        <v>141518.9134406966</v>
      </c>
      <c r="AQ159" s="10">
        <f t="shared" si="124"/>
        <v>-142.69823771936908</v>
      </c>
      <c r="AR159" s="10">
        <f>IF(AB159=1,IF(Q159="tak",AQ159,PMT(M159/12,P159+1-SUM(AB$5:AB159),AP159)),0)</f>
        <v>-593.2623937470048</v>
      </c>
      <c r="AS159" s="10">
        <f t="shared" si="125"/>
        <v>-450.5641560276357</v>
      </c>
      <c r="AT159" s="10">
        <f t="shared" si="126"/>
        <v>-2077.0709667476385</v>
      </c>
      <c r="AV159" s="11">
        <f>AV$5+SUM(AX$5:AX158)+SUM(W$5:W158)-SUM(X$5:X158)</f>
        <v>133285.22719148567</v>
      </c>
      <c r="AW159" s="11">
        <f t="shared" si="127"/>
        <v>-142.69823771936908</v>
      </c>
      <c r="AX159" s="11">
        <f t="shared" si="128"/>
        <v>-490.02</v>
      </c>
      <c r="AY159" s="11">
        <f t="shared" si="133"/>
        <v>-632.7182377193691</v>
      </c>
      <c r="AZ159" s="11">
        <f t="shared" si="163"/>
        <v>-2215.209822079283</v>
      </c>
      <c r="BB159" s="191">
        <f t="shared" si="144"/>
        <v>0.0203</v>
      </c>
      <c r="BC159" s="44">
        <f>BB159+Podsumowanie!$E$6</f>
        <v>0.032299999999999995</v>
      </c>
      <c r="BD159" s="11">
        <f>BD$5+SUM(BE$5:BE158)+SUM(R$5:R158)-SUM(S$5:S158)</f>
        <v>352715.58522636094</v>
      </c>
      <c r="BE159" s="10">
        <f t="shared" si="135"/>
        <v>-876.583986787429</v>
      </c>
      <c r="BF159" s="10">
        <f t="shared" si="130"/>
        <v>-949.3927835676213</v>
      </c>
      <c r="BG159" s="10">
        <f>IF(U159&lt;0,PMT(BC159/12,Podsumowanie!E$8-SUM(AB$5:AB159)+1,BD159),0)</f>
        <v>-1825.9767703550503</v>
      </c>
      <c r="BI159" s="11">
        <f>BI$5+SUM(BK$5:BK158)+SUM(R$5:R158)-SUM(S$5:S158)</f>
        <v>303064.06685236754</v>
      </c>
      <c r="BJ159" s="11">
        <f t="shared" si="138"/>
        <v>-815.7474466109558</v>
      </c>
      <c r="BK159" s="11">
        <f t="shared" si="139"/>
        <v>-1114.2061281337042</v>
      </c>
      <c r="BL159" s="11">
        <f t="shared" si="140"/>
        <v>-1929.9535747446598</v>
      </c>
      <c r="BN159" s="44">
        <f t="shared" si="145"/>
        <v>0.0324</v>
      </c>
      <c r="BO159" s="11">
        <f>BO$5+SUM(BP$5:BP158)+SUM(R$5:R158)-SUM(S$5:S158)+SUM(BS$5:BS158)</f>
        <v>384706.8865519778</v>
      </c>
      <c r="BP159" s="10">
        <f t="shared" si="154"/>
        <v>-954.8785823084095</v>
      </c>
      <c r="BQ159" s="10">
        <f t="shared" si="155"/>
        <v>-1038.70859369034</v>
      </c>
      <c r="BR159" s="10">
        <f>IF(U159&lt;0,PMT(BN159/12,Podsumowanie!E$8-SUM(AB$5:AB159)+1,BO159),0)</f>
        <v>-1993.5871759987494</v>
      </c>
      <c r="BS159" s="10">
        <f t="shared" si="149"/>
        <v>-211.9624072487436</v>
      </c>
      <c r="BU159" s="11">
        <f>BU$5+SUM(BW$5:BW158)+SUM(R$5:R158)-SUM(S$5:S158)+SUM(BY$5,BY158)</f>
        <v>302655.88335370825</v>
      </c>
      <c r="BV159" s="10">
        <f t="shared" si="146"/>
        <v>-817.1708850550123</v>
      </c>
      <c r="BW159" s="10">
        <f t="shared" si="147"/>
        <v>-1112.7054535062803</v>
      </c>
      <c r="BX159" s="10">
        <f t="shared" si="156"/>
        <v>-1929.8763385612924</v>
      </c>
      <c r="BY159" s="10">
        <f t="shared" si="157"/>
        <v>-275.67324468620063</v>
      </c>
      <c r="CA159" s="10">
        <f>CA$5+SUM(CB$5:CB158)+SUM(R$5:R158)-SUM(S$5:S158)-SUM(CC$5:CC158)</f>
        <v>366119.4307856136</v>
      </c>
      <c r="CB159" s="10">
        <f t="shared" si="150"/>
        <v>817.1708850550123</v>
      </c>
      <c r="CC159" s="10">
        <f t="shared" si="151"/>
        <v>2205.549583247493</v>
      </c>
      <c r="CD159" s="10">
        <f t="shared" si="152"/>
        <v>1388.378698192481</v>
      </c>
      <c r="CF159" s="44">
        <f t="shared" si="148"/>
        <v>0.4597</v>
      </c>
      <c r="CG159" s="10">
        <f t="shared" si="153"/>
        <v>-1013.89</v>
      </c>
      <c r="CH159" s="4">
        <f t="shared" si="158"/>
        <v>0</v>
      </c>
    </row>
    <row r="160" spans="1:86" ht="15.75">
      <c r="A160" s="36"/>
      <c r="B160" s="37">
        <v>41974</v>
      </c>
      <c r="C160" s="77">
        <f t="shared" si="142"/>
        <v>3.5123</v>
      </c>
      <c r="D160" s="78">
        <f>C160*(1+Podsumowanie!E$11)</f>
        <v>3.6176690000000002</v>
      </c>
      <c r="E160" s="34">
        <f t="shared" si="115"/>
        <v>-611.6107152030978</v>
      </c>
      <c r="F160" s="7">
        <f t="shared" si="136"/>
        <v>-2212.605124458076</v>
      </c>
      <c r="G160" s="7">
        <f t="shared" si="116"/>
        <v>-1348.960030901939</v>
      </c>
      <c r="H160" s="7">
        <f t="shared" si="137"/>
        <v>863.6450935561368</v>
      </c>
      <c r="I160" s="32"/>
      <c r="J160" s="4" t="str">
        <f t="shared" si="159"/>
        <v xml:space="preserve"> </v>
      </c>
      <c r="K160" s="4">
        <f>IF(B160&lt;Podsumowanie!E$7,0,K159+1)</f>
        <v>90</v>
      </c>
      <c r="L160" s="100">
        <f t="shared" si="143"/>
        <v>0.0001</v>
      </c>
      <c r="M160" s="38">
        <f>L160+Podsumowanie!E$6</f>
        <v>0.0121</v>
      </c>
      <c r="N160" s="101">
        <f>MAX(Podsumowanie!E$4+SUM(AA$5:AA159)-SUM(X$5:X160)+SUM(W$5:W160),0)</f>
        <v>145431.28792233916</v>
      </c>
      <c r="O160" s="102">
        <f>MAX(Podsumowanie!E$2+SUM(V$5:V159)-SUM(S$5:S160)+SUM(R$5:R160),0)</f>
        <v>320761.2126034802</v>
      </c>
      <c r="P160" s="39">
        <f t="shared" si="131"/>
        <v>360</v>
      </c>
      <c r="Q160" s="40" t="str">
        <f>IF(AND(K160&gt;0,K160&lt;=Podsumowanie!E$9),"tak","nie")</f>
        <v>nie</v>
      </c>
      <c r="R160" s="41"/>
      <c r="S160" s="42"/>
      <c r="T160" s="88">
        <f t="shared" si="117"/>
        <v>-323.4342227085092</v>
      </c>
      <c r="U160" s="89">
        <f>IF(Q160="tak",T160,IF(P160-SUM(AB$5:AB160)+1&gt;0,IF(Podsumowanie!E$7&lt;B160,IF(SUM(AB$5:AB160)-Podsumowanie!E$9+1&gt;0,PMT(M160/12,P160+1-SUM(AB$5:AB160),O160),T160),0),0))</f>
        <v>-1348.960030901939</v>
      </c>
      <c r="V160" s="89">
        <f t="shared" si="141"/>
        <v>-1025.5258081934298</v>
      </c>
      <c r="W160" s="90" t="str">
        <f>IF(R160&gt;0,R160/(C160*(1-Podsumowanie!E$11))," ")</f>
        <v xml:space="preserve"> </v>
      </c>
      <c r="X160" s="90" t="str">
        <f t="shared" si="160"/>
        <v xml:space="preserve"> </v>
      </c>
      <c r="Y160" s="91">
        <f t="shared" si="164"/>
        <v>-146.643215321692</v>
      </c>
      <c r="Z160" s="90">
        <f>IF(P160-SUM(AB$5:AB160)+1&gt;0,IF(Podsumowanie!E$7&lt;B160,IF(SUM(AB$5:AB160)-Podsumowanie!E$9+1&gt;0,PMT(M160/12,P160+1-SUM(AB$5:AB160),N160),Y160),0),0)</f>
        <v>-611.6107152030978</v>
      </c>
      <c r="AA160" s="90">
        <f t="shared" si="134"/>
        <v>-464.96749988140584</v>
      </c>
      <c r="AB160" s="8">
        <f>IF(AND(Podsumowanie!E$7&lt;B160,SUM(AB$5:AB159)&lt;P159),1," ")</f>
        <v>1</v>
      </c>
      <c r="AD160" s="10">
        <f>Podsumowanie!E$4-SUM(AF$5:AF159)+SUM(W$42:W160)-SUM(X$42:X160)</f>
        <v>136902.42813555224</v>
      </c>
      <c r="AE160" s="10">
        <f t="shared" si="118"/>
        <v>138.04</v>
      </c>
      <c r="AF160" s="10">
        <f t="shared" si="119"/>
        <v>505.18</v>
      </c>
      <c r="AG160" s="10">
        <f t="shared" si="132"/>
        <v>643.22</v>
      </c>
      <c r="AH160" s="10">
        <f t="shared" si="161"/>
        <v>2326.96</v>
      </c>
      <c r="AI160" s="10">
        <f>Podsumowanie!E$2-SUM(AK$5:AK159)+SUM(R$42:R160)-SUM(S$42:S160)</f>
        <v>301949.5499999999</v>
      </c>
      <c r="AJ160" s="10">
        <f t="shared" si="120"/>
        <v>304.47</v>
      </c>
      <c r="AK160" s="10">
        <f t="shared" si="121"/>
        <v>1114.2</v>
      </c>
      <c r="AL160" s="10">
        <f t="shared" si="122"/>
        <v>1418.67</v>
      </c>
      <c r="AM160" s="10">
        <f t="shared" si="123"/>
        <v>908.29</v>
      </c>
      <c r="AO160" s="43">
        <f t="shared" si="162"/>
        <v>41974</v>
      </c>
      <c r="AP160" s="11">
        <f>AP$5+SUM(AS$5:AS159)-SUM(X$5:X160)+SUM(W$5:W160)</f>
        <v>141068.34928466898</v>
      </c>
      <c r="AQ160" s="10">
        <f t="shared" si="124"/>
        <v>-142.24391886204123</v>
      </c>
      <c r="AR160" s="10">
        <f>IF(AB160=1,IF(Q160="tak",AQ160,PMT(M160/12,P160+1-SUM(AB$5:AB160),AP160)),0)</f>
        <v>-593.2623937470048</v>
      </c>
      <c r="AS160" s="10">
        <f t="shared" si="125"/>
        <v>-451.01847488496355</v>
      </c>
      <c r="AT160" s="10">
        <f t="shared" si="126"/>
        <v>-2083.715505557605</v>
      </c>
      <c r="AV160" s="11">
        <f>AV$5+SUM(AX$5:AX159)+SUM(W$5:W159)-SUM(X$5:X159)</f>
        <v>132795.20719148568</v>
      </c>
      <c r="AW160" s="11">
        <f t="shared" si="127"/>
        <v>-142.24391886204123</v>
      </c>
      <c r="AX160" s="11">
        <f t="shared" si="128"/>
        <v>-490.02</v>
      </c>
      <c r="AY160" s="11">
        <f t="shared" si="133"/>
        <v>-632.2639188620412</v>
      </c>
      <c r="AZ160" s="11">
        <f t="shared" si="163"/>
        <v>-2220.7005622191477</v>
      </c>
      <c r="BB160" s="191">
        <f t="shared" si="144"/>
        <v>0.0206</v>
      </c>
      <c r="BC160" s="44">
        <f>BB160+Podsumowanie!$E$6</f>
        <v>0.032600000000000004</v>
      </c>
      <c r="BD160" s="11">
        <f>BD$5+SUM(BE$5:BE159)+SUM(R$5:R159)-SUM(S$5:S159)</f>
        <v>351839.0012395735</v>
      </c>
      <c r="BE160" s="10">
        <f t="shared" si="135"/>
        <v>-875.6187513681467</v>
      </c>
      <c r="BF160" s="10">
        <f t="shared" si="130"/>
        <v>-955.8292867008416</v>
      </c>
      <c r="BG160" s="10">
        <f>IF(U160&lt;0,PMT(BC160/12,Podsumowanie!E$8-SUM(AB$5:AB160)+1,BD160),0)</f>
        <v>-1831.4480380689884</v>
      </c>
      <c r="BI160" s="11">
        <f>BI$5+SUM(BK$5:BK159)+SUM(R$5:R159)-SUM(S$5:S159)</f>
        <v>301949.86072423385</v>
      </c>
      <c r="BJ160" s="11">
        <f t="shared" si="138"/>
        <v>-820.2971216341688</v>
      </c>
      <c r="BK160" s="11">
        <f t="shared" si="139"/>
        <v>-1114.2061281337042</v>
      </c>
      <c r="BL160" s="11">
        <f t="shared" si="140"/>
        <v>-1934.503249767873</v>
      </c>
      <c r="BN160" s="44">
        <f t="shared" si="145"/>
        <v>0.0327</v>
      </c>
      <c r="BO160" s="11">
        <f>BO$5+SUM(BP$5:BP159)+SUM(R$5:R159)-SUM(S$5:S159)+SUM(BS$5:BS159)</f>
        <v>383540.0455624207</v>
      </c>
      <c r="BP160" s="10">
        <f t="shared" si="154"/>
        <v>-953.3070625002656</v>
      </c>
      <c r="BQ160" s="10">
        <f t="shared" si="155"/>
        <v>-1045.1466241575963</v>
      </c>
      <c r="BR160" s="10">
        <f>IF(U160&lt;0,PMT(BN160/12,Podsumowanie!E$8-SUM(AB$5:AB160)+1,BO160),0)</f>
        <v>-1998.453686657862</v>
      </c>
      <c r="BS160" s="10">
        <f t="shared" si="149"/>
        <v>-214.1514378002139</v>
      </c>
      <c r="BU160" s="11">
        <f>BU$5+SUM(BW$5:BW159)+SUM(R$5:R159)-SUM(S$5:S159)+SUM(BY$5,BY159)</f>
        <v>301516.94747964793</v>
      </c>
      <c r="BV160" s="10">
        <f t="shared" si="146"/>
        <v>-821.6336818820406</v>
      </c>
      <c r="BW160" s="10">
        <f t="shared" si="147"/>
        <v>-1112.6086622865237</v>
      </c>
      <c r="BX160" s="10">
        <f t="shared" si="156"/>
        <v>-1934.2423441685642</v>
      </c>
      <c r="BY160" s="10">
        <f t="shared" si="157"/>
        <v>-278.36278028951165</v>
      </c>
      <c r="CA160" s="10">
        <f>CA$5+SUM(CB$5:CB159)+SUM(R$5:R159)-SUM(S$5:S159)-SUM(CC$5:CC159)</f>
        <v>364731.0520874211</v>
      </c>
      <c r="CB160" s="10">
        <f t="shared" si="150"/>
        <v>821.6336818820406</v>
      </c>
      <c r="CC160" s="10">
        <f t="shared" si="151"/>
        <v>2212.605124458076</v>
      </c>
      <c r="CD160" s="10">
        <f t="shared" si="152"/>
        <v>1390.9714425760353</v>
      </c>
      <c r="CF160" s="44">
        <f t="shared" si="148"/>
        <v>0.4641</v>
      </c>
      <c r="CG160" s="10">
        <f t="shared" si="153"/>
        <v>-1026.87</v>
      </c>
      <c r="CH160" s="4">
        <f t="shared" si="158"/>
        <v>0</v>
      </c>
    </row>
    <row r="161" spans="1:86" ht="15.75">
      <c r="A161" s="36">
        <v>2015</v>
      </c>
      <c r="B161" s="37">
        <v>42005</v>
      </c>
      <c r="C161" s="77">
        <f t="shared" si="142"/>
        <v>3.9273</v>
      </c>
      <c r="D161" s="78">
        <f>C161*(1+Podsumowanie!E$11)</f>
        <v>4.045119</v>
      </c>
      <c r="E161" s="34">
        <f t="shared" si="115"/>
        <v>-611.6107152030977</v>
      </c>
      <c r="F161" s="7">
        <f t="shared" si="136"/>
        <v>-2474.0381246716393</v>
      </c>
      <c r="G161" s="7">
        <f t="shared" si="116"/>
        <v>-1348.960030901939</v>
      </c>
      <c r="H161" s="7">
        <f t="shared" si="137"/>
        <v>1125.0780937697002</v>
      </c>
      <c r="I161" s="32"/>
      <c r="J161" s="4" t="str">
        <f t="shared" si="159"/>
        <v xml:space="preserve"> </v>
      </c>
      <c r="K161" s="4">
        <f>IF(B161&lt;Podsumowanie!E$7,0,K160+1)</f>
        <v>91</v>
      </c>
      <c r="L161" s="100">
        <f t="shared" si="143"/>
        <v>0.0001</v>
      </c>
      <c r="M161" s="38">
        <f>L161+Podsumowanie!E$6</f>
        <v>0.0121</v>
      </c>
      <c r="N161" s="101">
        <f>MAX(Podsumowanie!E$4+SUM(AA$5:AA160)-SUM(X$5:X161)+SUM(W$5:W161),0)</f>
        <v>144966.32042245773</v>
      </c>
      <c r="O161" s="102">
        <f>MAX(Podsumowanie!E$2+SUM(V$5:V160)-SUM(S$5:S161)+SUM(R$5:R161),0)</f>
        <v>319735.6867952868</v>
      </c>
      <c r="P161" s="39">
        <f t="shared" si="131"/>
        <v>360</v>
      </c>
      <c r="Q161" s="40" t="str">
        <f>IF(AND(K161&gt;0,K161&lt;=Podsumowanie!E$9),"tak","nie")</f>
        <v>nie</v>
      </c>
      <c r="R161" s="46"/>
      <c r="S161" s="47"/>
      <c r="T161" s="88">
        <f t="shared" si="117"/>
        <v>-322.40015085191413</v>
      </c>
      <c r="U161" s="89">
        <f>IF(Q161="tak",T161,IF(P161-SUM(AB$5:AB161)+1&gt;0,IF(Podsumowanie!E$7&lt;B161,IF(SUM(AB$5:AB161)-Podsumowanie!E$9+1&gt;0,PMT(M161/12,P161+1-SUM(AB$5:AB161),O161),T161),0),0))</f>
        <v>-1348.960030901939</v>
      </c>
      <c r="V161" s="89">
        <f t="shared" si="141"/>
        <v>-1026.559880050025</v>
      </c>
      <c r="W161" s="90" t="str">
        <f>IF(R161&gt;0,R161/(C161*(1-Podsumowanie!E$11))," ")</f>
        <v xml:space="preserve"> </v>
      </c>
      <c r="X161" s="90" t="str">
        <f t="shared" si="160"/>
        <v xml:space="preserve"> </v>
      </c>
      <c r="Y161" s="91">
        <f t="shared" si="164"/>
        <v>-146.17437309264488</v>
      </c>
      <c r="Z161" s="90">
        <f>IF(P161-SUM(AB$5:AB161)+1&gt;0,IF(Podsumowanie!E$7&lt;B161,IF(SUM(AB$5:AB161)-Podsumowanie!E$9+1&gt;0,PMT(M161/12,P161+1-SUM(AB$5:AB161),N161),Y161),0),0)</f>
        <v>-611.6107152030977</v>
      </c>
      <c r="AA161" s="90">
        <f t="shared" si="134"/>
        <v>-465.4363421104528</v>
      </c>
      <c r="AB161" s="8">
        <f>IF(AND(Podsumowanie!E$7&lt;B161,SUM(AB$5:AB160)&lt;P160),1," ")</f>
        <v>1</v>
      </c>
      <c r="AD161" s="10">
        <f>Podsumowanie!E$4-SUM(AF$5:AF160)+SUM(W$42:W161)-SUM(X$42:X161)</f>
        <v>136397.24813555225</v>
      </c>
      <c r="AE161" s="10">
        <f t="shared" si="118"/>
        <v>137.53</v>
      </c>
      <c r="AF161" s="10">
        <f t="shared" si="119"/>
        <v>505.17</v>
      </c>
      <c r="AG161" s="10">
        <f t="shared" si="132"/>
        <v>642.7</v>
      </c>
      <c r="AH161" s="10">
        <f t="shared" si="161"/>
        <v>2599.8</v>
      </c>
      <c r="AI161" s="10">
        <f>Podsumowanie!E$2-SUM(AK$5:AK160)+SUM(R$42:R161)-SUM(S$42:S161)</f>
        <v>300835.34999999986</v>
      </c>
      <c r="AJ161" s="10">
        <f t="shared" si="120"/>
        <v>303.34</v>
      </c>
      <c r="AK161" s="10">
        <f t="shared" si="121"/>
        <v>1114.21</v>
      </c>
      <c r="AL161" s="10">
        <f t="shared" si="122"/>
        <v>1417.55</v>
      </c>
      <c r="AM161" s="10">
        <f t="shared" si="123"/>
        <v>1182.2500000000002</v>
      </c>
      <c r="AO161" s="43">
        <f t="shared" si="162"/>
        <v>42005</v>
      </c>
      <c r="AP161" s="11">
        <f>AP$5+SUM(AS$5:AS160)-SUM(X$5:X161)+SUM(W$5:W161)</f>
        <v>140617.330809784</v>
      </c>
      <c r="AQ161" s="10">
        <f t="shared" si="124"/>
        <v>-141.78914189986554</v>
      </c>
      <c r="AR161" s="10">
        <f>IF(AB161=1,IF(Q161="tak",AQ161,PMT(M161/12,P161+1-SUM(AB$5:AB161),AP161)),0)</f>
        <v>-593.2623937470048</v>
      </c>
      <c r="AS161" s="10">
        <f t="shared" si="125"/>
        <v>-451.4732518471393</v>
      </c>
      <c r="AT161" s="10">
        <f t="shared" si="126"/>
        <v>-2329.919398962612</v>
      </c>
      <c r="AV161" s="11">
        <f>AV$5+SUM(AX$5:AX160)+SUM(W$5:W160)-SUM(X$5:X160)</f>
        <v>132305.18719148566</v>
      </c>
      <c r="AW161" s="11">
        <f t="shared" si="127"/>
        <v>-141.78914189986554</v>
      </c>
      <c r="AX161" s="11">
        <f t="shared" si="128"/>
        <v>-490.02</v>
      </c>
      <c r="AY161" s="11">
        <f t="shared" si="133"/>
        <v>-631.8091418998655</v>
      </c>
      <c r="AZ161" s="11">
        <f t="shared" si="163"/>
        <v>-2481.304042983342</v>
      </c>
      <c r="BB161" s="191">
        <f t="shared" si="144"/>
        <v>0.0203</v>
      </c>
      <c r="BC161" s="44">
        <f>BB161+Podsumowanie!$E$6</f>
        <v>0.032299999999999995</v>
      </c>
      <c r="BD161" s="11">
        <f>BD$5+SUM(BE$5:BE160)+SUM(R$5:R160)-SUM(S$5:S160)</f>
        <v>350963.3824882054</v>
      </c>
      <c r="BE161" s="10">
        <f t="shared" si="135"/>
        <v>-881.3176302950726</v>
      </c>
      <c r="BF161" s="10">
        <f t="shared" si="130"/>
        <v>-944.676437864086</v>
      </c>
      <c r="BG161" s="10">
        <f>IF(U161&lt;0,PMT(BC161/12,Podsumowanie!E$8-SUM(AB$5:AB161)+1,BD161),0)</f>
        <v>-1825.9940681591586</v>
      </c>
      <c r="BI161" s="11">
        <f>BI$5+SUM(BK$5:BK160)+SUM(R$5:R160)-SUM(S$5:S160)</f>
        <v>300835.6545961001</v>
      </c>
      <c r="BJ161" s="11">
        <f t="shared" si="138"/>
        <v>-809.7493036211694</v>
      </c>
      <c r="BK161" s="11">
        <f t="shared" si="139"/>
        <v>-1114.2061281337042</v>
      </c>
      <c r="BL161" s="11">
        <f t="shared" si="140"/>
        <v>-1923.9554317548736</v>
      </c>
      <c r="BN161" s="44">
        <f t="shared" si="145"/>
        <v>0.0324</v>
      </c>
      <c r="BO161" s="11">
        <f>BO$5+SUM(BP$5:BP160)+SUM(R$5:R160)-SUM(S$5:S160)+SUM(BS$5:BS160)</f>
        <v>382372.5870621202</v>
      </c>
      <c r="BP161" s="10">
        <f t="shared" si="154"/>
        <v>-958.9836091691682</v>
      </c>
      <c r="BQ161" s="10">
        <f t="shared" si="155"/>
        <v>-1032.4059850677245</v>
      </c>
      <c r="BR161" s="10">
        <f>IF(U161&lt;0,PMT(BN161/12,Podsumowanie!E$8-SUM(AB$5:AB161)+1,BO161),0)</f>
        <v>-1991.3895942368927</v>
      </c>
      <c r="BS161" s="10">
        <f t="shared" si="149"/>
        <v>-482.6485304347466</v>
      </c>
      <c r="BU161" s="11">
        <f>BU$5+SUM(BW$5:BW160)+SUM(R$5:R160)-SUM(S$5:S160)+SUM(BY$5,BY160)</f>
        <v>300401.6492817581</v>
      </c>
      <c r="BV161" s="10">
        <f t="shared" si="146"/>
        <v>-811.0844530607469</v>
      </c>
      <c r="BW161" s="10">
        <f t="shared" si="147"/>
        <v>-1112.5987010435485</v>
      </c>
      <c r="BX161" s="10">
        <f t="shared" si="156"/>
        <v>-1923.6831541042955</v>
      </c>
      <c r="BY161" s="10">
        <f t="shared" si="157"/>
        <v>-550.3549705673438</v>
      </c>
      <c r="CA161" s="10">
        <f>CA$5+SUM(CB$5:CB160)+SUM(R$5:R160)-SUM(S$5:S160)-SUM(CC$5:CC160)</f>
        <v>363340.0806448451</v>
      </c>
      <c r="CB161" s="10">
        <f t="shared" si="150"/>
        <v>811.0844530607469</v>
      </c>
      <c r="CC161" s="10">
        <f t="shared" si="151"/>
        <v>2474.0381246716393</v>
      </c>
      <c r="CD161" s="10">
        <f t="shared" si="152"/>
        <v>1662.9536716108923</v>
      </c>
      <c r="CF161" s="44">
        <f t="shared" si="148"/>
        <v>0.4671</v>
      </c>
      <c r="CG161" s="10">
        <f t="shared" si="153"/>
        <v>-1155.62</v>
      </c>
      <c r="CH161" s="4">
        <f t="shared" si="158"/>
        <v>0</v>
      </c>
    </row>
    <row r="162" spans="1:86" ht="15.75">
      <c r="A162" s="36"/>
      <c r="B162" s="37">
        <v>42036</v>
      </c>
      <c r="C162" s="77">
        <f t="shared" si="142"/>
        <v>3.9322</v>
      </c>
      <c r="D162" s="78">
        <f>C162*(1+Podsumowanie!E$11)</f>
        <v>4.050166</v>
      </c>
      <c r="E162" s="34">
        <f t="shared" si="115"/>
        <v>-555.9961752299864</v>
      </c>
      <c r="F162" s="7">
        <f t="shared" si="136"/>
        <v>-2251.8768050465333</v>
      </c>
      <c r="G162" s="7">
        <f t="shared" si="116"/>
        <v>-1226.2973801408045</v>
      </c>
      <c r="H162" s="7">
        <f t="shared" si="137"/>
        <v>1025.5794249057287</v>
      </c>
      <c r="I162" s="32"/>
      <c r="J162" s="4" t="str">
        <f t="shared" si="159"/>
        <v xml:space="preserve"> </v>
      </c>
      <c r="K162" s="4">
        <f>IF(B162&lt;Podsumowanie!E$7,0,K161+1)</f>
        <v>92</v>
      </c>
      <c r="L162" s="100">
        <f t="shared" si="143"/>
        <v>-0.0086</v>
      </c>
      <c r="M162" s="38">
        <f>L162+Podsumowanie!E$6</f>
        <v>0.0034000000000000002</v>
      </c>
      <c r="N162" s="101">
        <f>MAX(Podsumowanie!E$4+SUM(AA$5:AA161)-SUM(X$5:X162)+SUM(W$5:W162),0)</f>
        <v>144500.88408034728</v>
      </c>
      <c r="O162" s="102">
        <f>MAX(Podsumowanie!E$2+SUM(V$5:V161)-SUM(S$5:S162)+SUM(R$5:R162),0)</f>
        <v>318709.12691523676</v>
      </c>
      <c r="P162" s="39">
        <f t="shared" si="131"/>
        <v>360</v>
      </c>
      <c r="Q162" s="40" t="str">
        <f>IF(AND(K162&gt;0,K162&lt;=Podsumowanie!E$9),"tak","nie")</f>
        <v>nie</v>
      </c>
      <c r="R162" s="41"/>
      <c r="S162" s="42"/>
      <c r="T162" s="88">
        <f t="shared" si="117"/>
        <v>-90.30091929265042</v>
      </c>
      <c r="U162" s="89">
        <f>IF(Q162="tak",T162,IF(P162-SUM(AB$5:AB162)+1&gt;0,IF(Podsumowanie!E$7&lt;B162,IF(SUM(AB$5:AB162)-Podsumowanie!E$9+1&gt;0,PMT(M162/12,P162+1-SUM(AB$5:AB162),O162),T162),0),0))</f>
        <v>-1226.2973801408045</v>
      </c>
      <c r="V162" s="89">
        <f t="shared" si="141"/>
        <v>-1135.9964608481541</v>
      </c>
      <c r="W162" s="90" t="str">
        <f>IF(R162&gt;0,R162/(C162*(1-Podsumowanie!E$11))," ")</f>
        <v xml:space="preserve"> </v>
      </c>
      <c r="X162" s="90" t="str">
        <f t="shared" si="160"/>
        <v xml:space="preserve"> </v>
      </c>
      <c r="Y162" s="91">
        <f t="shared" si="164"/>
        <v>-40.9419171560984</v>
      </c>
      <c r="Z162" s="90">
        <f>IF(P162-SUM(AB$5:AB162)+1&gt;0,IF(Podsumowanie!E$7&lt;B162,IF(SUM(AB$5:AB162)-Podsumowanie!E$9+1&gt;0,PMT(M162/12,P162+1-SUM(AB$5:AB162),N162),Y162),0),0)</f>
        <v>-555.9961752299864</v>
      </c>
      <c r="AA162" s="90">
        <f t="shared" si="134"/>
        <v>-515.054258073888</v>
      </c>
      <c r="AB162" s="8">
        <f>IF(AND(Podsumowanie!E$7&lt;B162,SUM(AB$5:AB161)&lt;P161),1," ")</f>
        <v>1</v>
      </c>
      <c r="AD162" s="10">
        <f>Podsumowanie!E$4-SUM(AF$5:AF161)+SUM(W$42:W162)-SUM(X$42:X162)</f>
        <v>135892.07813555223</v>
      </c>
      <c r="AE162" s="10">
        <f t="shared" si="118"/>
        <v>38.5</v>
      </c>
      <c r="AF162" s="10">
        <f t="shared" si="119"/>
        <v>505.18</v>
      </c>
      <c r="AG162" s="10">
        <f t="shared" si="132"/>
        <v>543.6800000000001</v>
      </c>
      <c r="AH162" s="10">
        <f t="shared" si="161"/>
        <v>2201.99</v>
      </c>
      <c r="AI162" s="10">
        <f>Podsumowanie!E$2-SUM(AK$5:AK161)+SUM(R$42:R162)-SUM(S$42:S162)</f>
        <v>299721.1399999999</v>
      </c>
      <c r="AJ162" s="10">
        <f t="shared" si="120"/>
        <v>84.92</v>
      </c>
      <c r="AK162" s="10">
        <f t="shared" si="121"/>
        <v>1114.2</v>
      </c>
      <c r="AL162" s="10">
        <f t="shared" si="122"/>
        <v>1199.1200000000001</v>
      </c>
      <c r="AM162" s="10">
        <f t="shared" si="123"/>
        <v>1002.8699999999997</v>
      </c>
      <c r="AO162" s="43">
        <f t="shared" si="162"/>
        <v>42036</v>
      </c>
      <c r="AP162" s="11">
        <f>AP$5+SUM(AS$5:AS161)-SUM(X$5:X162)+SUM(W$5:W162)</f>
        <v>140165.85755793686</v>
      </c>
      <c r="AQ162" s="10">
        <f t="shared" si="124"/>
        <v>-39.71365964141545</v>
      </c>
      <c r="AR162" s="10">
        <f>IF(AB162=1,IF(Q162="tak",AQ162,PMT(M162/12,P162+1-SUM(AB$5:AB162),AP162)),0)</f>
        <v>-539.3162899730869</v>
      </c>
      <c r="AS162" s="10">
        <f t="shared" si="125"/>
        <v>-499.60263033167143</v>
      </c>
      <c r="AT162" s="10">
        <f t="shared" si="126"/>
        <v>-2120.699515432172</v>
      </c>
      <c r="AV162" s="11">
        <f>AV$5+SUM(AX$5:AX161)+SUM(W$5:W161)-SUM(X$5:X161)</f>
        <v>131815.16719148567</v>
      </c>
      <c r="AW162" s="11">
        <f t="shared" si="127"/>
        <v>-39.71365964141545</v>
      </c>
      <c r="AX162" s="11">
        <f t="shared" si="128"/>
        <v>-490.02</v>
      </c>
      <c r="AY162" s="11">
        <f t="shared" si="133"/>
        <v>-529.7336596414154</v>
      </c>
      <c r="AZ162" s="11">
        <f t="shared" si="163"/>
        <v>-2083.0186964419736</v>
      </c>
      <c r="BB162" s="191">
        <f t="shared" si="144"/>
        <v>0.0192</v>
      </c>
      <c r="BC162" s="44">
        <f>BB162+Podsumowanie!$E$6</f>
        <v>0.0312</v>
      </c>
      <c r="BD162" s="11">
        <f>BD$5+SUM(BE$5:BE161)+SUM(R$5:R161)-SUM(S$5:S161)</f>
        <v>350082.0648579103</v>
      </c>
      <c r="BE162" s="10">
        <f t="shared" si="135"/>
        <v>-895.9261808785199</v>
      </c>
      <c r="BF162" s="10">
        <f t="shared" si="130"/>
        <v>-910.2133686305668</v>
      </c>
      <c r="BG162" s="10">
        <f>IF(U162&lt;0,PMT(BC162/12,Podsumowanie!E$8-SUM(AB$5:AB162)+1,BD162),0)</f>
        <v>-1806.1395495090867</v>
      </c>
      <c r="BI162" s="11">
        <f>BI$5+SUM(BK$5:BK161)+SUM(R$5:R161)-SUM(S$5:S161)</f>
        <v>299721.4484679664</v>
      </c>
      <c r="BJ162" s="11">
        <f t="shared" si="138"/>
        <v>-779.2757660167126</v>
      </c>
      <c r="BK162" s="11">
        <f t="shared" si="139"/>
        <v>-1114.2061281337042</v>
      </c>
      <c r="BL162" s="11">
        <f t="shared" si="140"/>
        <v>-1893.4818941504168</v>
      </c>
      <c r="BN162" s="44">
        <f t="shared" si="145"/>
        <v>0.031299999999999994</v>
      </c>
      <c r="BO162" s="11">
        <f>BO$5+SUM(BP$5:BP161)+SUM(R$5:R161)-SUM(S$5:S161)+SUM(BS$5:BS161)</f>
        <v>380930.95492251625</v>
      </c>
      <c r="BP162" s="10">
        <f t="shared" si="154"/>
        <v>-973.6582662293275</v>
      </c>
      <c r="BQ162" s="10">
        <f t="shared" si="155"/>
        <v>-993.5949074228964</v>
      </c>
      <c r="BR162" s="10">
        <f>IF(U162&lt;0,PMT(BN162/12,Podsumowanie!E$8-SUM(AB$5:AB162)+1,BO162),0)</f>
        <v>-1967.253173652224</v>
      </c>
      <c r="BS162" s="10">
        <f t="shared" si="149"/>
        <v>-284.6236313943093</v>
      </c>
      <c r="BU162" s="11">
        <f>BU$5+SUM(BW$5:BW161)+SUM(R$5:R161)-SUM(S$5:S161)+SUM(BY$5,BY161)</f>
        <v>299017.05839043675</v>
      </c>
      <c r="BV162" s="10">
        <f t="shared" si="146"/>
        <v>-779.9361606350558</v>
      </c>
      <c r="BW162" s="10">
        <f t="shared" si="147"/>
        <v>-1111.5875776596163</v>
      </c>
      <c r="BX162" s="10">
        <f t="shared" si="156"/>
        <v>-1891.523738294672</v>
      </c>
      <c r="BY162" s="10">
        <f t="shared" si="157"/>
        <v>-360.3530667518612</v>
      </c>
      <c r="CA162" s="10">
        <f>CA$5+SUM(CB$5:CB161)+SUM(R$5:R161)-SUM(S$5:S161)-SUM(CC$5:CC161)</f>
        <v>361677.12697323423</v>
      </c>
      <c r="CB162" s="10">
        <f t="shared" si="150"/>
        <v>779.9361606350558</v>
      </c>
      <c r="CC162" s="10">
        <f t="shared" si="151"/>
        <v>2251.8768050465333</v>
      </c>
      <c r="CD162" s="10">
        <f t="shared" si="152"/>
        <v>1471.9406444114775</v>
      </c>
      <c r="CF162" s="44">
        <f t="shared" si="148"/>
        <v>0.4685</v>
      </c>
      <c r="CG162" s="10">
        <f t="shared" si="153"/>
        <v>-1055</v>
      </c>
      <c r="CH162" s="4">
        <f t="shared" si="158"/>
        <v>0</v>
      </c>
    </row>
    <row r="163" spans="1:86" ht="15.75">
      <c r="A163" s="36"/>
      <c r="B163" s="37">
        <v>42064</v>
      </c>
      <c r="C163" s="77">
        <f t="shared" si="142"/>
        <v>3.8912</v>
      </c>
      <c r="D163" s="78">
        <f>C163*(1+Podsumowanie!E$11)</f>
        <v>4.007936</v>
      </c>
      <c r="E163" s="34">
        <f aca="true" t="shared" si="165" ref="E163:E176">Z163</f>
        <v>-555.9961752299864</v>
      </c>
      <c r="F163" s="7">
        <f aca="true" t="shared" si="166" ref="F163:F176">E163*D163</f>
        <v>-2228.397086566571</v>
      </c>
      <c r="G163" s="7">
        <f t="shared" si="116"/>
        <v>-1226.2973801408045</v>
      </c>
      <c r="H163" s="7">
        <f aca="true" t="shared" si="167" ref="H163:H176">G163-F163</f>
        <v>1002.0997064257665</v>
      </c>
      <c r="I163" s="32"/>
      <c r="J163" s="4" t="str">
        <f t="shared" si="159"/>
        <v xml:space="preserve"> </v>
      </c>
      <c r="K163" s="4">
        <f>IF(B163&lt;Podsumowanie!E$7,0,K162+1)</f>
        <v>93</v>
      </c>
      <c r="L163" s="100">
        <f t="shared" si="143"/>
        <v>-0.0086</v>
      </c>
      <c r="M163" s="38">
        <f>L163+Podsumowanie!E$6</f>
        <v>0.0034000000000000002</v>
      </c>
      <c r="N163" s="101">
        <f>MAX(Podsumowanie!E$4+SUM(AA$5:AA162)-SUM(X$5:X163)+SUM(W$5:W163),0)</f>
        <v>143985.8298222734</v>
      </c>
      <c r="O163" s="102">
        <f>MAX(Podsumowanie!E$2+SUM(V$5:V162)-SUM(S$5:S163)+SUM(R$5:R163),0)</f>
        <v>317573.1304543886</v>
      </c>
      <c r="P163" s="39">
        <f t="shared" si="131"/>
        <v>360</v>
      </c>
      <c r="Q163" s="40" t="str">
        <f>IF(AND(K163&gt;0,K163&lt;=Podsumowanie!E$9),"tak","nie")</f>
        <v>nie</v>
      </c>
      <c r="R163" s="41"/>
      <c r="S163" s="42"/>
      <c r="T163" s="88">
        <f t="shared" si="117"/>
        <v>-89.97905362874344</v>
      </c>
      <c r="U163" s="89">
        <f>IF(Q163="tak",T163,IF(P163-SUM(AB$5:AB163)+1&gt;0,IF(Podsumowanie!E$7&lt;B163,IF(SUM(AB$5:AB163)-Podsumowanie!E$9+1&gt;0,PMT(M163/12,P163+1-SUM(AB$5:AB163),O163),T163),0),0))</f>
        <v>-1226.2973801408045</v>
      </c>
      <c r="V163" s="89">
        <f t="shared" si="141"/>
        <v>-1136.318326512061</v>
      </c>
      <c r="W163" s="90" t="str">
        <f>IF(R163&gt;0,R163/(C163*(1-Podsumowanie!E$11))," ")</f>
        <v xml:space="preserve"> </v>
      </c>
      <c r="X163" s="90" t="str">
        <f t="shared" si="160"/>
        <v xml:space="preserve"> </v>
      </c>
      <c r="Y163" s="91">
        <f t="shared" si="164"/>
        <v>-40.795985116310796</v>
      </c>
      <c r="Z163" s="90">
        <f>IF(P163-SUM(AB$5:AB163)+1&gt;0,IF(Podsumowanie!E$7&lt;B163,IF(SUM(AB$5:AB163)-Podsumowanie!E$9+1&gt;0,PMT(M163/12,P163+1-SUM(AB$5:AB163),N163),Y163),0),0)</f>
        <v>-555.9961752299864</v>
      </c>
      <c r="AA163" s="90">
        <f aca="true" t="shared" si="168" ref="AA163:AA176">Z163-Y163</f>
        <v>-515.2001901136756</v>
      </c>
      <c r="AB163" s="8">
        <f>IF(AND(Podsumowanie!E$7&lt;B163,SUM(AB$5:AB162)&lt;P162),1," ")</f>
        <v>1</v>
      </c>
      <c r="AD163" s="10">
        <f>Podsumowanie!E$4-SUM(AF$5:AF162)+SUM(W$42:W163)-SUM(X$42:X163)</f>
        <v>135386.89813555224</v>
      </c>
      <c r="AE163" s="10">
        <f t="shared" si="118"/>
        <v>38.36</v>
      </c>
      <c r="AF163" s="10">
        <f t="shared" si="119"/>
        <v>505.17</v>
      </c>
      <c r="AG163" s="10">
        <f t="shared" si="132"/>
        <v>543.53</v>
      </c>
      <c r="AH163" s="10">
        <f t="shared" si="161"/>
        <v>2178.43</v>
      </c>
      <c r="AI163" s="10">
        <f>Podsumowanie!E$2-SUM(AK$5:AK162)+SUM(R$42:R163)-SUM(S$42:S163)</f>
        <v>298606.9399999999</v>
      </c>
      <c r="AJ163" s="10">
        <f t="shared" si="120"/>
        <v>84.61</v>
      </c>
      <c r="AK163" s="10">
        <f t="shared" si="121"/>
        <v>1114.21</v>
      </c>
      <c r="AL163" s="10">
        <f t="shared" si="122"/>
        <v>1198.82</v>
      </c>
      <c r="AM163" s="10">
        <f t="shared" si="123"/>
        <v>979.6099999999999</v>
      </c>
      <c r="AO163" s="43">
        <f t="shared" si="162"/>
        <v>42064</v>
      </c>
      <c r="AP163" s="11">
        <f>AP$5+SUM(AS$5:AS162)-SUM(X$5:X163)+SUM(W$5:W163)</f>
        <v>139666.2549276052</v>
      </c>
      <c r="AQ163" s="10">
        <f t="shared" si="124"/>
        <v>-39.57210556282147</v>
      </c>
      <c r="AR163" s="10">
        <f>IF(AB163=1,IF(Q163="tak",AQ163,PMT(M163/12,P163+1-SUM(AB$5:AB163),AP163)),0)</f>
        <v>-539.3162899730869</v>
      </c>
      <c r="AS163" s="10">
        <f t="shared" si="125"/>
        <v>-499.7441844102654</v>
      </c>
      <c r="AT163" s="10">
        <f t="shared" si="126"/>
        <v>-2098.587547543276</v>
      </c>
      <c r="AV163" s="11">
        <f>AV$5+SUM(AX$5:AX162)+SUM(W$5:W162)-SUM(X$5:X162)</f>
        <v>131325.14719148568</v>
      </c>
      <c r="AW163" s="11">
        <f t="shared" si="127"/>
        <v>-39.57210556282147</v>
      </c>
      <c r="AX163" s="11">
        <f t="shared" si="128"/>
        <v>-490.02</v>
      </c>
      <c r="AY163" s="11">
        <f t="shared" si="133"/>
        <v>-529.5921055628214</v>
      </c>
      <c r="AZ163" s="11">
        <f t="shared" si="163"/>
        <v>-2060.7488011660507</v>
      </c>
      <c r="BB163" s="191">
        <f t="shared" si="144"/>
        <v>0.0167</v>
      </c>
      <c r="BC163" s="44">
        <f>BB163+Podsumowanie!$E$6</f>
        <v>0.0287</v>
      </c>
      <c r="BD163" s="11">
        <f>BD$5+SUM(BE$5:BE162)+SUM(R$5:R162)-SUM(S$5:S162)</f>
        <v>349186.1386770318</v>
      </c>
      <c r="BE163" s="10">
        <f t="shared" si="135"/>
        <v>-926.4891125266417</v>
      </c>
      <c r="BF163" s="10">
        <f t="shared" si="130"/>
        <v>-835.136848335901</v>
      </c>
      <c r="BG163" s="10">
        <f>IF(U163&lt;0,PMT(BC163/12,Podsumowanie!E$8-SUM(AB$5:AB163)+1,BD163),0)</f>
        <v>-1761.6259608625428</v>
      </c>
      <c r="BI163" s="11">
        <f>BI$5+SUM(BK$5:BK162)+SUM(R$5:R162)-SUM(S$5:S162)</f>
        <v>298607.2423398327</v>
      </c>
      <c r="BJ163" s="11">
        <f t="shared" si="138"/>
        <v>-714.1689879294332</v>
      </c>
      <c r="BK163" s="11">
        <f t="shared" si="139"/>
        <v>-1114.2061281337042</v>
      </c>
      <c r="BL163" s="11">
        <f t="shared" si="140"/>
        <v>-1828.3751160631373</v>
      </c>
      <c r="BN163" s="44">
        <f t="shared" si="145"/>
        <v>0.0288</v>
      </c>
      <c r="BO163" s="11">
        <f>BO$5+SUM(BP$5:BP162)+SUM(R$5:R162)-SUM(S$5:S162)+SUM(BS$5:BS162)</f>
        <v>379672.67302489263</v>
      </c>
      <c r="BP163" s="10">
        <f t="shared" si="154"/>
        <v>-1006.1369996640111</v>
      </c>
      <c r="BQ163" s="10">
        <f t="shared" si="155"/>
        <v>-911.2144152597424</v>
      </c>
      <c r="BR163" s="10">
        <f>IF(U163&lt;0,PMT(BN163/12,Podsumowanie!E$8-SUM(AB$5:AB163)+1,BO163),0)</f>
        <v>-1917.3514149237535</v>
      </c>
      <c r="BS163" s="10">
        <f t="shared" si="149"/>
        <v>-311.0456716428175</v>
      </c>
      <c r="BU163" s="11">
        <f>BU$5+SUM(BW$5:BW162)+SUM(R$5:R162)-SUM(S$5:S162)+SUM(BY$5,BY162)</f>
        <v>298095.4727165926</v>
      </c>
      <c r="BV163" s="10">
        <f t="shared" si="146"/>
        <v>-715.4291345198222</v>
      </c>
      <c r="BW163" s="10">
        <f t="shared" si="147"/>
        <v>-1112.2965399872858</v>
      </c>
      <c r="BX163" s="10">
        <f t="shared" si="156"/>
        <v>-1827.7256745071081</v>
      </c>
      <c r="BY163" s="10">
        <f t="shared" si="157"/>
        <v>-400.6714120594629</v>
      </c>
      <c r="CA163" s="10">
        <f>CA$5+SUM(CB$5:CB162)+SUM(R$5:R162)-SUM(S$5:S162)-SUM(CC$5:CC162)</f>
        <v>360205.18632882263</v>
      </c>
      <c r="CB163" s="10">
        <f t="shared" si="150"/>
        <v>715.4291345198222</v>
      </c>
      <c r="CC163" s="10">
        <f t="shared" si="151"/>
        <v>2228.397086566571</v>
      </c>
      <c r="CD163" s="10">
        <f t="shared" si="152"/>
        <v>1512.967952046749</v>
      </c>
      <c r="CF163" s="44">
        <f t="shared" si="148"/>
        <v>0.4656</v>
      </c>
      <c r="CG163" s="10">
        <f t="shared" si="153"/>
        <v>-1037.54</v>
      </c>
      <c r="CH163" s="4">
        <f t="shared" si="158"/>
        <v>0</v>
      </c>
    </row>
    <row r="164" spans="1:86" ht="15.75">
      <c r="A164" s="36"/>
      <c r="B164" s="37">
        <v>42095</v>
      </c>
      <c r="C164" s="77">
        <f t="shared" si="142"/>
        <v>3.8812</v>
      </c>
      <c r="D164" s="78">
        <f>C164*(1+Podsumowanie!E$11)</f>
        <v>3.9976360000000004</v>
      </c>
      <c r="E164" s="34">
        <f t="shared" si="165"/>
        <v>-555.9961752299864</v>
      </c>
      <c r="F164" s="7">
        <f t="shared" si="166"/>
        <v>-2222.670325961702</v>
      </c>
      <c r="G164" s="7">
        <f t="shared" si="116"/>
        <v>-1226.2973801408045</v>
      </c>
      <c r="H164" s="7">
        <f t="shared" si="167"/>
        <v>996.3729458208975</v>
      </c>
      <c r="I164" s="32"/>
      <c r="J164" s="4" t="str">
        <f t="shared" si="159"/>
        <v xml:space="preserve"> </v>
      </c>
      <c r="K164" s="4">
        <f>IF(B164&lt;Podsumowanie!E$7,0,K163+1)</f>
        <v>94</v>
      </c>
      <c r="L164" s="100">
        <f t="shared" si="143"/>
        <v>-0.0086</v>
      </c>
      <c r="M164" s="38">
        <f>L164+Podsumowanie!E$6</f>
        <v>0.0034000000000000002</v>
      </c>
      <c r="N164" s="101">
        <f>MAX(Podsumowanie!E$4+SUM(AA$5:AA163)-SUM(X$5:X164)+SUM(W$5:W164),0)</f>
        <v>143470.62963215972</v>
      </c>
      <c r="O164" s="102">
        <f>MAX(Podsumowanie!E$2+SUM(V$5:V163)-SUM(S$5:S164)+SUM(R$5:R164),0)</f>
        <v>316436.81212787656</v>
      </c>
      <c r="P164" s="39">
        <f t="shared" si="131"/>
        <v>360</v>
      </c>
      <c r="Q164" s="40" t="str">
        <f>IF(AND(K164&gt;0,K164&lt;=Podsumowanie!E$9),"tak","nie")</f>
        <v>nie</v>
      </c>
      <c r="R164" s="41"/>
      <c r="S164" s="42"/>
      <c r="T164" s="88">
        <f t="shared" si="117"/>
        <v>-89.65709676956503</v>
      </c>
      <c r="U164" s="89">
        <f>IF(Q164="tak",T164,IF(P164-SUM(AB$5:AB164)+1&gt;0,IF(Podsumowanie!E$7&lt;B164,IF(SUM(AB$5:AB164)-Podsumowanie!E$9+1&gt;0,PMT(M164/12,P164+1-SUM(AB$5:AB164),O164),T164),0),0))</f>
        <v>-1226.2973801408045</v>
      </c>
      <c r="V164" s="89">
        <f t="shared" si="141"/>
        <v>-1136.6402833712395</v>
      </c>
      <c r="W164" s="90" t="str">
        <f>IF(R164&gt;0,R164/(C164*(1-Podsumowanie!E$11))," ")</f>
        <v xml:space="preserve"> </v>
      </c>
      <c r="X164" s="90" t="str">
        <f t="shared" si="160"/>
        <v xml:space="preserve"> </v>
      </c>
      <c r="Y164" s="91">
        <f t="shared" si="164"/>
        <v>-40.650011729111924</v>
      </c>
      <c r="Z164" s="90">
        <f>IF(P164-SUM(AB$5:AB164)+1&gt;0,IF(Podsumowanie!E$7&lt;B164,IF(SUM(AB$5:AB164)-Podsumowanie!E$9+1&gt;0,PMT(M164/12,P164+1-SUM(AB$5:AB164),N164),Y164),0),0)</f>
        <v>-555.9961752299864</v>
      </c>
      <c r="AA164" s="90">
        <f t="shared" si="168"/>
        <v>-515.3461635008745</v>
      </c>
      <c r="AB164" s="8">
        <f>IF(AND(Podsumowanie!E$7&lt;B164,SUM(AB$5:AB163)&lt;P163),1," ")</f>
        <v>1</v>
      </c>
      <c r="AD164" s="10">
        <f>Podsumowanie!E$4-SUM(AF$5:AF163)+SUM(W$42:W164)-SUM(X$42:X164)</f>
        <v>134881.72813555226</v>
      </c>
      <c r="AE164" s="10">
        <f t="shared" si="118"/>
        <v>38.22</v>
      </c>
      <c r="AF164" s="10">
        <f t="shared" si="119"/>
        <v>505.18</v>
      </c>
      <c r="AG164" s="10">
        <f t="shared" si="132"/>
        <v>543.4</v>
      </c>
      <c r="AH164" s="10">
        <f t="shared" si="161"/>
        <v>2172.32</v>
      </c>
      <c r="AI164" s="10">
        <f>Podsumowanie!E$2-SUM(AK$5:AK163)+SUM(R$42:R164)-SUM(S$42:S164)</f>
        <v>297492.72999999986</v>
      </c>
      <c r="AJ164" s="10">
        <f t="shared" si="120"/>
        <v>84.29</v>
      </c>
      <c r="AK164" s="10">
        <f t="shared" si="121"/>
        <v>1114.2</v>
      </c>
      <c r="AL164" s="10">
        <f t="shared" si="122"/>
        <v>1198.49</v>
      </c>
      <c r="AM164" s="10">
        <f t="shared" si="123"/>
        <v>973.8300000000002</v>
      </c>
      <c r="AO164" s="43">
        <f t="shared" si="162"/>
        <v>42095</v>
      </c>
      <c r="AP164" s="11">
        <f>AP$5+SUM(AS$5:AS163)-SUM(X$5:X164)+SUM(W$5:W164)</f>
        <v>139166.51074319493</v>
      </c>
      <c r="AQ164" s="10">
        <f t="shared" si="124"/>
        <v>-39.43051137723857</v>
      </c>
      <c r="AR164" s="10">
        <f>IF(AB164=1,IF(Q164="tak",AQ164,PMT(M164/12,P164+1-SUM(AB$5:AB164),AP164)),0)</f>
        <v>-539.3162899730869</v>
      </c>
      <c r="AS164" s="10">
        <f t="shared" si="125"/>
        <v>-499.8857785958483</v>
      </c>
      <c r="AT164" s="10">
        <f t="shared" si="126"/>
        <v>-2093.194384643545</v>
      </c>
      <c r="AV164" s="11">
        <f>AV$5+SUM(AX$5:AX163)+SUM(W$5:W163)-SUM(X$5:X163)</f>
        <v>130835.12719148569</v>
      </c>
      <c r="AW164" s="11">
        <f t="shared" si="127"/>
        <v>-39.43051137723857</v>
      </c>
      <c r="AX164" s="11">
        <f t="shared" si="128"/>
        <v>-490.02</v>
      </c>
      <c r="AY164" s="11">
        <f t="shared" si="133"/>
        <v>-529.4505113772385</v>
      </c>
      <c r="AZ164" s="11">
        <f t="shared" si="163"/>
        <v>-2054.9033247573384</v>
      </c>
      <c r="BB164" s="191">
        <f t="shared" si="144"/>
        <v>0.0165</v>
      </c>
      <c r="BC164" s="44">
        <f>BB164+Podsumowanie!$E$6</f>
        <v>0.0285</v>
      </c>
      <c r="BD164" s="11">
        <f>BD$5+SUM(BE$5:BE163)+SUM(R$5:R163)-SUM(S$5:S163)</f>
        <v>348259.64956450515</v>
      </c>
      <c r="BE164" s="10">
        <f t="shared" si="135"/>
        <v>-930.987754063234</v>
      </c>
      <c r="BF164" s="10">
        <f t="shared" si="130"/>
        <v>-827.1166677156998</v>
      </c>
      <c r="BG164" s="10">
        <f>IF(U164&lt;0,PMT(BC164/12,Podsumowanie!E$8-SUM(AB$5:AB164)+1,BD164),0)</f>
        <v>-1758.1044217789338</v>
      </c>
      <c r="BI164" s="11">
        <f>BI$5+SUM(BK$5:BK163)+SUM(R$5:R163)-SUM(S$5:S163)</f>
        <v>297493.036211699</v>
      </c>
      <c r="BJ164" s="11">
        <f t="shared" si="138"/>
        <v>-706.5459610027851</v>
      </c>
      <c r="BK164" s="11">
        <f t="shared" si="139"/>
        <v>-1114.2061281337042</v>
      </c>
      <c r="BL164" s="11">
        <f t="shared" si="140"/>
        <v>-1820.7520891364893</v>
      </c>
      <c r="BN164" s="44">
        <f t="shared" si="145"/>
        <v>0.0286</v>
      </c>
      <c r="BO164" s="11">
        <f>BO$5+SUM(BP$5:BP163)+SUM(R$5:R163)-SUM(S$5:S163)+SUM(BS$5:BS163)</f>
        <v>378355.4903535858</v>
      </c>
      <c r="BP164" s="10">
        <f t="shared" si="154"/>
        <v>-1010.2010966260199</v>
      </c>
      <c r="BQ164" s="10">
        <f t="shared" si="155"/>
        <v>-901.7472520093796</v>
      </c>
      <c r="BR164" s="10">
        <f>IF(U164&lt;0,PMT(BN164/12,Podsumowanie!E$8-SUM(AB$5:AB164)+1,BO164),0)</f>
        <v>-1911.9483486353995</v>
      </c>
      <c r="BS164" s="10">
        <f t="shared" si="149"/>
        <v>-310.7219773263025</v>
      </c>
      <c r="BU164" s="11">
        <f>BU$5+SUM(BW$5:BW163)+SUM(R$5:R163)-SUM(S$5:S163)+SUM(BY$5,BY163)</f>
        <v>296942.8578312977</v>
      </c>
      <c r="BV164" s="10">
        <f t="shared" si="146"/>
        <v>-707.7138111645928</v>
      </c>
      <c r="BW164" s="10">
        <f t="shared" si="147"/>
        <v>-1112.1455349486805</v>
      </c>
      <c r="BX164" s="10">
        <f t="shared" si="156"/>
        <v>-1819.8593461132732</v>
      </c>
      <c r="BY164" s="10">
        <f t="shared" si="157"/>
        <v>-402.8109798484288</v>
      </c>
      <c r="CA164" s="10">
        <f>CA$5+SUM(CB$5:CB163)+SUM(R$5:R163)-SUM(S$5:S163)-SUM(CC$5:CC163)</f>
        <v>358692.21837677597</v>
      </c>
      <c r="CB164" s="10">
        <f t="shared" si="150"/>
        <v>707.7138111645928</v>
      </c>
      <c r="CC164" s="10">
        <f t="shared" si="151"/>
        <v>2222.670325961702</v>
      </c>
      <c r="CD164" s="10">
        <f t="shared" si="152"/>
        <v>1514.9565147971093</v>
      </c>
      <c r="CF164" s="44">
        <f t="shared" si="148"/>
        <v>0.4597</v>
      </c>
      <c r="CG164" s="10">
        <f t="shared" si="153"/>
        <v>-1021.76</v>
      </c>
      <c r="CH164" s="4">
        <f t="shared" si="158"/>
        <v>0</v>
      </c>
    </row>
    <row r="165" spans="1:86" ht="15.75">
      <c r="A165" s="36"/>
      <c r="B165" s="37">
        <v>42125</v>
      </c>
      <c r="C165" s="77">
        <f t="shared" si="142"/>
        <v>3.9211</v>
      </c>
      <c r="D165" s="78">
        <f>C165*(1+Podsumowanie!E$11)</f>
        <v>4.038733000000001</v>
      </c>
      <c r="E165" s="34">
        <f t="shared" si="165"/>
        <v>-555.9961752299864</v>
      </c>
      <c r="F165" s="7">
        <f t="shared" si="166"/>
        <v>-2245.520100775129</v>
      </c>
      <c r="G165" s="7">
        <f t="shared" si="116"/>
        <v>-1226.2973801408043</v>
      </c>
      <c r="H165" s="7">
        <f t="shared" si="167"/>
        <v>1019.2227206343246</v>
      </c>
      <c r="I165" s="32"/>
      <c r="J165" s="4" t="str">
        <f t="shared" si="159"/>
        <v xml:space="preserve"> </v>
      </c>
      <c r="K165" s="4">
        <f>IF(B165&lt;Podsumowanie!E$7,0,K164+1)</f>
        <v>95</v>
      </c>
      <c r="L165" s="100">
        <f t="shared" si="143"/>
        <v>-0.0086</v>
      </c>
      <c r="M165" s="38">
        <f>L165+Podsumowanie!E$6</f>
        <v>0.0034000000000000002</v>
      </c>
      <c r="N165" s="101">
        <f>MAX(Podsumowanie!E$4+SUM(AA$5:AA164)-SUM(X$5:X165)+SUM(W$5:W165),0)</f>
        <v>142955.28346865886</v>
      </c>
      <c r="O165" s="102">
        <f>MAX(Podsumowanie!E$2+SUM(V$5:V164)-SUM(S$5:S165)+SUM(R$5:R165),0)</f>
        <v>315300.1718445053</v>
      </c>
      <c r="P165" s="39">
        <f t="shared" si="131"/>
        <v>360</v>
      </c>
      <c r="Q165" s="40" t="str">
        <f>IF(AND(K165&gt;0,K165&lt;=Podsumowanie!E$9),"tak","nie")</f>
        <v>nie</v>
      </c>
      <c r="R165" s="41"/>
      <c r="S165" s="42"/>
      <c r="T165" s="88">
        <f t="shared" si="117"/>
        <v>-89.3350486892765</v>
      </c>
      <c r="U165" s="89">
        <f>IF(Q165="tak",T165,IF(P165-SUM(AB$5:AB165)+1&gt;0,IF(Podsumowanie!E$7&lt;B165,IF(SUM(AB$5:AB165)-Podsumowanie!E$9+1&gt;0,PMT(M165/12,P165+1-SUM(AB$5:AB165),O165),T165),0),0))</f>
        <v>-1226.2973801408043</v>
      </c>
      <c r="V165" s="89">
        <f aca="true" t="shared" si="169" ref="V165:V176">U165-T165</f>
        <v>-1136.962331451528</v>
      </c>
      <c r="W165" s="90" t="str">
        <f>IF(R165&gt;0,R165/(C165*(1-Podsumowanie!E$11))," ")</f>
        <v xml:space="preserve"> </v>
      </c>
      <c r="X165" s="90" t="str">
        <f t="shared" si="160"/>
        <v xml:space="preserve"> </v>
      </c>
      <c r="Y165" s="91">
        <f t="shared" si="164"/>
        <v>-40.50399698278668</v>
      </c>
      <c r="Z165" s="90">
        <f>IF(P165-SUM(AB$5:AB165)+1&gt;0,IF(Podsumowanie!E$7&lt;B165,IF(SUM(AB$5:AB165)-Podsumowanie!E$9+1&gt;0,PMT(M165/12,P165+1-SUM(AB$5:AB165),N165),Y165),0),0)</f>
        <v>-555.9961752299864</v>
      </c>
      <c r="AA165" s="90">
        <f t="shared" si="168"/>
        <v>-515.4921782471997</v>
      </c>
      <c r="AB165" s="8">
        <f>IF(AND(Podsumowanie!E$7&lt;B165,SUM(AB$5:AB164)&lt;P164),1," ")</f>
        <v>1</v>
      </c>
      <c r="AD165" s="10">
        <f>Podsumowanie!E$4-SUM(AF$5:AF164)+SUM(W$42:W165)-SUM(X$42:X165)</f>
        <v>134376.54813555224</v>
      </c>
      <c r="AE165" s="10">
        <f t="shared" si="118"/>
        <v>38.07</v>
      </c>
      <c r="AF165" s="10">
        <f t="shared" si="119"/>
        <v>505.17</v>
      </c>
      <c r="AG165" s="10">
        <f t="shared" si="132"/>
        <v>543.24</v>
      </c>
      <c r="AH165" s="10">
        <f t="shared" si="161"/>
        <v>2194</v>
      </c>
      <c r="AI165" s="10">
        <f>Podsumowanie!E$2-SUM(AK$5:AK164)+SUM(R$42:R165)-SUM(S$42:S165)</f>
        <v>296378.5299999999</v>
      </c>
      <c r="AJ165" s="10">
        <f t="shared" si="120"/>
        <v>83.97</v>
      </c>
      <c r="AK165" s="10">
        <f t="shared" si="121"/>
        <v>1114.21</v>
      </c>
      <c r="AL165" s="10">
        <f t="shared" si="122"/>
        <v>1198.18</v>
      </c>
      <c r="AM165" s="10">
        <f t="shared" si="123"/>
        <v>995.8199999999999</v>
      </c>
      <c r="AO165" s="43">
        <f t="shared" si="162"/>
        <v>42125</v>
      </c>
      <c r="AP165" s="11">
        <f>AP$5+SUM(AS$5:AS164)-SUM(X$5:X165)+SUM(W$5:W165)</f>
        <v>138666.6249645991</v>
      </c>
      <c r="AQ165" s="10">
        <f t="shared" si="124"/>
        <v>-39.28887707330308</v>
      </c>
      <c r="AR165" s="10">
        <f>IF(AB165=1,IF(Q165="tak",AQ165,PMT(M165/12,P165+1-SUM(AB$5:AB165),AP165)),0)</f>
        <v>-539.3162899730869</v>
      </c>
      <c r="AS165" s="10">
        <f t="shared" si="125"/>
        <v>-500.0274128997838</v>
      </c>
      <c r="AT165" s="10">
        <f t="shared" si="126"/>
        <v>-2114.713104613471</v>
      </c>
      <c r="AV165" s="11">
        <f>AV$5+SUM(AX$5:AX164)+SUM(W$5:W164)-SUM(X$5:X164)</f>
        <v>130345.10719148569</v>
      </c>
      <c r="AW165" s="11">
        <f t="shared" si="127"/>
        <v>-39.28887707330308</v>
      </c>
      <c r="AX165" s="11">
        <f t="shared" si="128"/>
        <v>-490.02</v>
      </c>
      <c r="AY165" s="11">
        <f t="shared" si="133"/>
        <v>-529.308877073303</v>
      </c>
      <c r="AZ165" s="11">
        <f t="shared" si="163"/>
        <v>-2075.4730378921286</v>
      </c>
      <c r="BB165" s="191">
        <f t="shared" si="144"/>
        <v>0.0167</v>
      </c>
      <c r="BC165" s="44">
        <f>BB165+Podsumowanie!$E$6</f>
        <v>0.0287</v>
      </c>
      <c r="BD165" s="11">
        <f>BD$5+SUM(BE$5:BE164)+SUM(R$5:R164)-SUM(S$5:S164)</f>
        <v>347328.6618104419</v>
      </c>
      <c r="BE165" s="10">
        <f t="shared" si="135"/>
        <v>-930.9199999702422</v>
      </c>
      <c r="BF165" s="10">
        <f t="shared" si="130"/>
        <v>-830.6943828299735</v>
      </c>
      <c r="BG165" s="10">
        <f>IF(U165&lt;0,PMT(BC165/12,Podsumowanie!E$8-SUM(AB$5:AB165)+1,BD165),0)</f>
        <v>-1761.6143828002157</v>
      </c>
      <c r="BI165" s="11">
        <f>BI$5+SUM(BK$5:BK164)+SUM(R$5:R164)-SUM(S$5:S164)</f>
        <v>296378.8300835653</v>
      </c>
      <c r="BJ165" s="11">
        <f t="shared" si="138"/>
        <v>-708.8393686165272</v>
      </c>
      <c r="BK165" s="11">
        <f t="shared" si="139"/>
        <v>-1114.2061281337042</v>
      </c>
      <c r="BL165" s="11">
        <f t="shared" si="140"/>
        <v>-1823.0454967502315</v>
      </c>
      <c r="BN165" s="44">
        <f t="shared" si="145"/>
        <v>0.0288</v>
      </c>
      <c r="BO165" s="11">
        <f>BO$5+SUM(BP$5:BP164)+SUM(R$5:R164)-SUM(S$5:S164)+SUM(BS$5:BS164)</f>
        <v>377034.5672796335</v>
      </c>
      <c r="BP165" s="10">
        <f t="shared" si="154"/>
        <v>-1009.3033952529204</v>
      </c>
      <c r="BQ165" s="10">
        <f t="shared" si="155"/>
        <v>-904.8829614711203</v>
      </c>
      <c r="BR165" s="10">
        <f>IF(U165&lt;0,PMT(BN165/12,Podsumowanie!E$8-SUM(AB$5:AB165)+1,BO165),0)</f>
        <v>-1914.1863567240407</v>
      </c>
      <c r="BS165" s="10">
        <f t="shared" si="149"/>
        <v>-331.33374405108816</v>
      </c>
      <c r="BU165" s="11">
        <f>BU$5+SUM(BW$5:BW164)+SUM(R$5:R164)-SUM(S$5:S164)+SUM(BY$5,BY164)</f>
        <v>295828.57272856</v>
      </c>
      <c r="BV165" s="10">
        <f t="shared" si="146"/>
        <v>-709.988574548544</v>
      </c>
      <c r="BW165" s="10">
        <f t="shared" si="147"/>
        <v>-1112.137491460752</v>
      </c>
      <c r="BX165" s="10">
        <f t="shared" si="156"/>
        <v>-1822.126066009296</v>
      </c>
      <c r="BY165" s="10">
        <f t="shared" si="157"/>
        <v>-423.3940347658329</v>
      </c>
      <c r="CA165" s="10">
        <f>CA$5+SUM(CB$5:CB164)+SUM(R$5:R164)-SUM(S$5:S164)-SUM(CC$5:CC164)</f>
        <v>357177.26186197886</v>
      </c>
      <c r="CB165" s="10">
        <f t="shared" si="150"/>
        <v>709.988574548544</v>
      </c>
      <c r="CC165" s="10">
        <f t="shared" si="151"/>
        <v>2245.520100775129</v>
      </c>
      <c r="CD165" s="10">
        <f t="shared" si="152"/>
        <v>1535.531526226585</v>
      </c>
      <c r="CF165" s="44">
        <f t="shared" si="148"/>
        <v>0.4597</v>
      </c>
      <c r="CG165" s="10">
        <f t="shared" si="153"/>
        <v>-1032.27</v>
      </c>
      <c r="CH165" s="4">
        <f t="shared" si="158"/>
        <v>0</v>
      </c>
    </row>
    <row r="166" spans="1:86" ht="15.75">
      <c r="A166" s="36"/>
      <c r="B166" s="37">
        <v>42156</v>
      </c>
      <c r="C166" s="77">
        <f t="shared" si="142"/>
        <v>3.9817</v>
      </c>
      <c r="D166" s="78">
        <f>C166*(1+Podsumowanie!E$11)</f>
        <v>4.101151</v>
      </c>
      <c r="E166" s="34">
        <f t="shared" si="165"/>
        <v>-555.9961752299868</v>
      </c>
      <c r="F166" s="7">
        <f t="shared" si="166"/>
        <v>-2280.2242700406355</v>
      </c>
      <c r="G166" s="7">
        <f t="shared" si="116"/>
        <v>-1226.2973801408048</v>
      </c>
      <c r="H166" s="7">
        <f t="shared" si="167"/>
        <v>1053.9268898998307</v>
      </c>
      <c r="I166" s="32"/>
      <c r="J166" s="4" t="str">
        <f t="shared" si="159"/>
        <v xml:space="preserve"> </v>
      </c>
      <c r="K166" s="4">
        <f>IF(B166&lt;Podsumowanie!E$7,0,K165+1)</f>
        <v>96</v>
      </c>
      <c r="L166" s="100">
        <f t="shared" si="143"/>
        <v>-0.0086</v>
      </c>
      <c r="M166" s="38">
        <f>L166+Podsumowanie!E$6</f>
        <v>0.0034000000000000002</v>
      </c>
      <c r="N166" s="101">
        <f>MAX(Podsumowanie!E$4+SUM(AA$5:AA165)-SUM(X$5:X166)+SUM(W$5:W166),0)</f>
        <v>142439.79129041167</v>
      </c>
      <c r="O166" s="102">
        <f>MAX(Podsumowanie!E$2+SUM(V$5:V165)-SUM(S$5:S166)+SUM(R$5:R166),0)</f>
        <v>314163.20951305376</v>
      </c>
      <c r="P166" s="39">
        <f t="shared" si="131"/>
        <v>360</v>
      </c>
      <c r="Q166" s="40" t="str">
        <f>IF(AND(K166&gt;0,K166&lt;=Podsumowanie!E$9),"tak","nie")</f>
        <v>nie</v>
      </c>
      <c r="R166" s="41"/>
      <c r="S166" s="42"/>
      <c r="T166" s="88">
        <f t="shared" si="117"/>
        <v>-89.0129093620319</v>
      </c>
      <c r="U166" s="89">
        <f>IF(Q166="tak",T166,IF(P166-SUM(AB$5:AB166)+1&gt;0,IF(Podsumowanie!E$7&lt;B166,IF(SUM(AB$5:AB166)-Podsumowanie!E$9+1&gt;0,PMT(M166/12,P166+1-SUM(AB$5:AB166),O166),T166),0),0))</f>
        <v>-1226.2973801408048</v>
      </c>
      <c r="V166" s="89">
        <f t="shared" si="169"/>
        <v>-1137.2844707787729</v>
      </c>
      <c r="W166" s="90" t="str">
        <f>IF(R166&gt;0,R166/(C166*(1-Podsumowanie!E$11))," ")</f>
        <v xml:space="preserve"> </v>
      </c>
      <c r="X166" s="90" t="str">
        <f t="shared" si="160"/>
        <v xml:space="preserve"> </v>
      </c>
      <c r="Y166" s="91">
        <f t="shared" si="164"/>
        <v>-40.35794086561664</v>
      </c>
      <c r="Z166" s="90">
        <f>IF(P166-SUM(AB$5:AB166)+1&gt;0,IF(Podsumowanie!E$7&lt;B166,IF(SUM(AB$5:AB166)-Podsumowanie!E$9+1&gt;0,PMT(M166/12,P166+1-SUM(AB$5:AB166),N166),Y166),0),0)</f>
        <v>-555.9961752299868</v>
      </c>
      <c r="AA166" s="90">
        <f t="shared" si="168"/>
        <v>-515.6382343643701</v>
      </c>
      <c r="AB166" s="8">
        <f>IF(AND(Podsumowanie!E$7&lt;B166,SUM(AB$5:AB165)&lt;P165),1," ")</f>
        <v>1</v>
      </c>
      <c r="AD166" s="10">
        <f>Podsumowanie!E$4-SUM(AF$5:AF165)+SUM(W$42:W166)-SUM(X$42:X166)</f>
        <v>133871.37813555225</v>
      </c>
      <c r="AE166" s="10">
        <f t="shared" si="118"/>
        <v>37.93</v>
      </c>
      <c r="AF166" s="10">
        <f t="shared" si="119"/>
        <v>505.18</v>
      </c>
      <c r="AG166" s="10">
        <f t="shared" si="132"/>
        <v>543.11</v>
      </c>
      <c r="AH166" s="10">
        <f t="shared" si="161"/>
        <v>2227.38</v>
      </c>
      <c r="AI166" s="10">
        <f>Podsumowanie!E$2-SUM(AK$5:AK165)+SUM(R$42:R166)-SUM(S$42:S166)</f>
        <v>295264.3199999999</v>
      </c>
      <c r="AJ166" s="10">
        <f t="shared" si="120"/>
        <v>83.66</v>
      </c>
      <c r="AK166" s="10">
        <f t="shared" si="121"/>
        <v>1114.2</v>
      </c>
      <c r="AL166" s="10">
        <f t="shared" si="122"/>
        <v>1197.8600000000001</v>
      </c>
      <c r="AM166" s="10">
        <f t="shared" si="123"/>
        <v>1029.52</v>
      </c>
      <c r="AO166" s="43">
        <f t="shared" si="162"/>
        <v>42156</v>
      </c>
      <c r="AP166" s="11">
        <f>AP$5+SUM(AS$5:AS165)-SUM(X$5:X166)+SUM(W$5:W166)</f>
        <v>138166.5975516993</v>
      </c>
      <c r="AQ166" s="10">
        <f t="shared" si="124"/>
        <v>-39.147202639648135</v>
      </c>
      <c r="AR166" s="10">
        <f>IF(AB166=1,IF(Q166="tak",AQ166,PMT(M166/12,P166+1-SUM(AB$5:AB166),AP166)),0)</f>
        <v>-539.316289973087</v>
      </c>
      <c r="AS166" s="10">
        <f t="shared" si="125"/>
        <v>-500.1690873334389</v>
      </c>
      <c r="AT166" s="10">
        <f t="shared" si="126"/>
        <v>-2147.3956717858405</v>
      </c>
      <c r="AV166" s="11">
        <f>AV$5+SUM(AX$5:AX165)+SUM(W$5:W165)-SUM(X$5:X165)</f>
        <v>129855.08719148568</v>
      </c>
      <c r="AW166" s="11">
        <f t="shared" si="127"/>
        <v>-39.147202639648135</v>
      </c>
      <c r="AX166" s="11">
        <f t="shared" si="128"/>
        <v>-490.02</v>
      </c>
      <c r="AY166" s="11">
        <f t="shared" si="133"/>
        <v>-529.1672026396482</v>
      </c>
      <c r="AZ166" s="11">
        <f t="shared" si="163"/>
        <v>-2106.985050750287</v>
      </c>
      <c r="BB166" s="191">
        <f t="shared" si="144"/>
        <v>0.017</v>
      </c>
      <c r="BC166" s="44">
        <f>BB166+Podsumowanie!$E$6</f>
        <v>0.029</v>
      </c>
      <c r="BD166" s="11">
        <f>BD$5+SUM(BE$5:BE165)+SUM(R$5:R165)-SUM(S$5:S165)</f>
        <v>346397.74181047163</v>
      </c>
      <c r="BE166" s="10">
        <f t="shared" si="135"/>
        <v>-929.7417538448842</v>
      </c>
      <c r="BF166" s="10">
        <f t="shared" si="130"/>
        <v>-837.1278760419732</v>
      </c>
      <c r="BG166" s="10">
        <f>IF(U166&lt;0,PMT(BC166/12,Podsumowanie!E$8-SUM(AB$5:AB166)+1,BD166),0)</f>
        <v>-1766.8696298868574</v>
      </c>
      <c r="BI166" s="11">
        <f>BI$5+SUM(BK$5:BK165)+SUM(R$5:R165)-SUM(S$5:S165)</f>
        <v>295264.62395543157</v>
      </c>
      <c r="BJ166" s="11">
        <f t="shared" si="138"/>
        <v>-713.5561745589597</v>
      </c>
      <c r="BK166" s="11">
        <f t="shared" si="139"/>
        <v>-1114.206128133704</v>
      </c>
      <c r="BL166" s="11">
        <f t="shared" si="140"/>
        <v>-1827.7623026926635</v>
      </c>
      <c r="BN166" s="44">
        <f t="shared" si="145"/>
        <v>0.0291</v>
      </c>
      <c r="BO166" s="11">
        <f>BO$5+SUM(BP$5:BP165)+SUM(R$5:R165)-SUM(S$5:S165)+SUM(BS$5:BS165)</f>
        <v>375693.9301403294</v>
      </c>
      <c r="BP166" s="10">
        <f t="shared" si="154"/>
        <v>-1007.1449182658181</v>
      </c>
      <c r="BQ166" s="10">
        <f t="shared" si="155"/>
        <v>-911.0577805902989</v>
      </c>
      <c r="BR166" s="10">
        <f>IF(U166&lt;0,PMT(BN166/12,Podsumowanie!E$8-SUM(AB$5:AB166)+1,BO166),0)</f>
        <v>-1918.202698856117</v>
      </c>
      <c r="BS166" s="10">
        <f t="shared" si="149"/>
        <v>-362.0215711845185</v>
      </c>
      <c r="BU166" s="11">
        <f>BU$5+SUM(BW$5:BW165)+SUM(R$5:R165)-SUM(S$5:S165)+SUM(BY$5,BY165)</f>
        <v>294695.8521821819</v>
      </c>
      <c r="BV166" s="10">
        <f t="shared" si="146"/>
        <v>-714.6374415417912</v>
      </c>
      <c r="BW166" s="10">
        <f t="shared" si="147"/>
        <v>-1112.0598195554035</v>
      </c>
      <c r="BX166" s="10">
        <f t="shared" si="156"/>
        <v>-1826.6972610971948</v>
      </c>
      <c r="BY166" s="10">
        <f t="shared" si="157"/>
        <v>-453.5270089434407</v>
      </c>
      <c r="CA166" s="10">
        <f>CA$5+SUM(CB$5:CB165)+SUM(R$5:R165)-SUM(S$5:S165)-SUM(CC$5:CC165)</f>
        <v>355641.73033575225</v>
      </c>
      <c r="CB166" s="10">
        <f t="shared" si="150"/>
        <v>714.6374415417912</v>
      </c>
      <c r="CC166" s="10">
        <f t="shared" si="151"/>
        <v>2280.2242700406355</v>
      </c>
      <c r="CD166" s="10">
        <f t="shared" si="152"/>
        <v>1565.5868284988442</v>
      </c>
      <c r="CF166" s="44">
        <f t="shared" si="148"/>
        <v>0.4597</v>
      </c>
      <c r="CG166" s="10">
        <f t="shared" si="153"/>
        <v>-1048.22</v>
      </c>
      <c r="CH166" s="4">
        <f t="shared" si="158"/>
        <v>0</v>
      </c>
    </row>
    <row r="167" spans="1:86" ht="15.75">
      <c r="A167" s="36" t="s">
        <v>26</v>
      </c>
      <c r="B167" s="37">
        <v>42186</v>
      </c>
      <c r="C167" s="77">
        <f t="shared" si="142"/>
        <v>3.9627</v>
      </c>
      <c r="D167" s="78">
        <f>C167*(1+Podsumowanie!E$11)</f>
        <v>4.081581</v>
      </c>
      <c r="E167" s="34">
        <f t="shared" si="165"/>
        <v>-563.3279938145834</v>
      </c>
      <c r="F167" s="7">
        <f t="shared" si="166"/>
        <v>-2299.2688363217208</v>
      </c>
      <c r="G167" s="7">
        <f t="shared" si="116"/>
        <v>-1242.4683365655312</v>
      </c>
      <c r="H167" s="7">
        <f t="shared" si="167"/>
        <v>1056.8004997561895</v>
      </c>
      <c r="I167" s="32"/>
      <c r="J167" s="4" t="str">
        <f t="shared" si="159"/>
        <v xml:space="preserve"> </v>
      </c>
      <c r="K167" s="4">
        <f>IF(B167&lt;Podsumowanie!E$7,0,K166+1)</f>
        <v>97</v>
      </c>
      <c r="L167" s="100">
        <f t="shared" si="143"/>
        <v>-0.0074</v>
      </c>
      <c r="M167" s="38">
        <f>L167+Podsumowanie!E$6</f>
        <v>0.0046</v>
      </c>
      <c r="N167" s="101">
        <f>MAX(Podsumowanie!E$4+SUM(AA$5:AA166)-SUM(X$5:X167)+SUM(W$5:W167),0)</f>
        <v>141924.15305604727</v>
      </c>
      <c r="O167" s="102">
        <f>MAX(Podsumowanie!E$2+SUM(V$5:V166)-SUM(S$5:S167)+SUM(R$5:R167),0)</f>
        <v>313025.925042275</v>
      </c>
      <c r="P167" s="39">
        <f t="shared" si="131"/>
        <v>360</v>
      </c>
      <c r="Q167" s="40" t="str">
        <f>IF(AND(K167&gt;0,K167&lt;=Podsumowanie!E$9),"tak","nie")</f>
        <v>nie</v>
      </c>
      <c r="R167" s="41"/>
      <c r="S167" s="42"/>
      <c r="T167" s="88">
        <f t="shared" si="117"/>
        <v>-119.99327126620541</v>
      </c>
      <c r="U167" s="89">
        <f>IF(Q167="tak",T167,IF(P167-SUM(AB$5:AB167)+1&gt;0,IF(Podsumowanie!E$7&lt;B167,IF(SUM(AB$5:AB167)-Podsumowanie!E$9+1&gt;0,PMT(M167/12,P167+1-SUM(AB$5:AB167),O167),T167),0),0))</f>
        <v>-1242.4683365655312</v>
      </c>
      <c r="V167" s="89">
        <f t="shared" si="169"/>
        <v>-1122.4750652993257</v>
      </c>
      <c r="W167" s="90" t="str">
        <f>IF(R167&gt;0,R167/(C167*(1-Podsumowanie!E$11))," ")</f>
        <v xml:space="preserve"> </v>
      </c>
      <c r="X167" s="90" t="str">
        <f t="shared" si="160"/>
        <v xml:space="preserve"> </v>
      </c>
      <c r="Y167" s="91">
        <f t="shared" si="164"/>
        <v>-54.40425867148479</v>
      </c>
      <c r="Z167" s="90">
        <f>IF(P167-SUM(AB$5:AB167)+1&gt;0,IF(Podsumowanie!E$7&lt;B167,IF(SUM(AB$5:AB167)-Podsumowanie!E$9+1&gt;0,PMT(M167/12,P167+1-SUM(AB$5:AB167),N167),Y167),0),0)</f>
        <v>-563.3279938145834</v>
      </c>
      <c r="AA167" s="90">
        <f t="shared" si="168"/>
        <v>-508.92373514309855</v>
      </c>
      <c r="AB167" s="8">
        <f>IF(AND(Podsumowanie!E$7&lt;B167,SUM(AB$5:AB166)&lt;P166),1," ")</f>
        <v>1</v>
      </c>
      <c r="AD167" s="10">
        <f>Podsumowanie!E$4-SUM(AF$5:AF166)+SUM(W$42:W167)-SUM(X$42:X167)</f>
        <v>133366.19813555223</v>
      </c>
      <c r="AE167" s="10">
        <f t="shared" si="118"/>
        <v>51.12</v>
      </c>
      <c r="AF167" s="10">
        <f t="shared" si="119"/>
        <v>505.17</v>
      </c>
      <c r="AG167" s="10">
        <f t="shared" si="132"/>
        <v>556.29</v>
      </c>
      <c r="AH167" s="10">
        <f t="shared" si="161"/>
        <v>2270.54</v>
      </c>
      <c r="AI167" s="10">
        <f>Podsumowanie!E$2-SUM(AK$5:AK166)+SUM(R$42:R167)-SUM(S$42:S167)</f>
        <v>294150.1199999999</v>
      </c>
      <c r="AJ167" s="10">
        <f t="shared" si="120"/>
        <v>112.76</v>
      </c>
      <c r="AK167" s="10">
        <f t="shared" si="121"/>
        <v>1114.21</v>
      </c>
      <c r="AL167" s="10">
        <f t="shared" si="122"/>
        <v>1226.97</v>
      </c>
      <c r="AM167" s="10">
        <f t="shared" si="123"/>
        <v>1043.57</v>
      </c>
      <c r="AO167" s="43">
        <f t="shared" si="162"/>
        <v>42186</v>
      </c>
      <c r="AP167" s="11">
        <f>AP$5+SUM(AS$5:AS166)-SUM(X$5:X167)+SUM(W$5:W167)</f>
        <v>137666.42846436586</v>
      </c>
      <c r="AQ167" s="10">
        <f t="shared" si="124"/>
        <v>-52.77213091134024</v>
      </c>
      <c r="AR167" s="10">
        <f>IF(AB167=1,IF(Q167="tak",AQ167,PMT(M167/12,P167+1-SUM(AB$5:AB167),AP167)),0)</f>
        <v>-546.4281540001458</v>
      </c>
      <c r="AS167" s="10">
        <f t="shared" si="125"/>
        <v>-493.65602308880557</v>
      </c>
      <c r="AT167" s="10">
        <f t="shared" si="126"/>
        <v>-2165.330845856378</v>
      </c>
      <c r="AV167" s="11">
        <f>AV$5+SUM(AX$5:AX166)+SUM(W$5:W166)-SUM(X$5:X166)</f>
        <v>129365.0671914857</v>
      </c>
      <c r="AW167" s="11">
        <f t="shared" si="127"/>
        <v>-52.77213091134024</v>
      </c>
      <c r="AX167" s="11">
        <f t="shared" si="128"/>
        <v>-490.02</v>
      </c>
      <c r="AY167" s="11">
        <f t="shared" si="133"/>
        <v>-542.7921309113402</v>
      </c>
      <c r="AZ167" s="11">
        <f t="shared" si="163"/>
        <v>-2150.922377162368</v>
      </c>
      <c r="BB167" s="191">
        <f t="shared" si="144"/>
        <v>0.0172</v>
      </c>
      <c r="BC167" s="44">
        <f>BB167+Podsumowanie!$E$6</f>
        <v>0.0292</v>
      </c>
      <c r="BD167" s="11">
        <f>BD$5+SUM(BE$5:BE166)+SUM(R$5:R166)-SUM(S$5:S166)</f>
        <v>345468.0000566268</v>
      </c>
      <c r="BE167" s="10">
        <f t="shared" si="135"/>
        <v>-929.7278219433216</v>
      </c>
      <c r="BF167" s="10">
        <f t="shared" si="130"/>
        <v>-840.6388001377919</v>
      </c>
      <c r="BG167" s="10">
        <f>IF(U167&lt;0,PMT(BC167/12,Podsumowanie!E$8-SUM(AB$5:AB167)+1,BD167),0)</f>
        <v>-1770.3666220811135</v>
      </c>
      <c r="BI167" s="11">
        <f>BI$5+SUM(BK$5:BK166)+SUM(R$5:R166)-SUM(S$5:S166)</f>
        <v>294150.4178272979</v>
      </c>
      <c r="BJ167" s="11">
        <f t="shared" si="138"/>
        <v>-715.7660167130915</v>
      </c>
      <c r="BK167" s="11">
        <f t="shared" si="139"/>
        <v>-1114.2061281337042</v>
      </c>
      <c r="BL167" s="11">
        <f t="shared" si="140"/>
        <v>-1829.9721448467958</v>
      </c>
      <c r="BN167" s="44">
        <f t="shared" si="145"/>
        <v>0.0293</v>
      </c>
      <c r="BO167" s="11">
        <f>BO$5+SUM(BP$5:BP166)+SUM(R$5:R166)-SUM(S$5:S166)+SUM(BS$5:BS166)</f>
        <v>374324.7636508791</v>
      </c>
      <c r="BP167" s="10">
        <f t="shared" si="154"/>
        <v>-1006.1643272782801</v>
      </c>
      <c r="BQ167" s="10">
        <f t="shared" si="155"/>
        <v>-913.9762979142297</v>
      </c>
      <c r="BR167" s="10">
        <f>IF(U167&lt;0,PMT(BN167/12,Podsumowanie!E$8-SUM(AB$5:AB167)+1,BO167),0)</f>
        <v>-1920.1406251925098</v>
      </c>
      <c r="BS167" s="10">
        <f t="shared" si="149"/>
        <v>-379.12821112921097</v>
      </c>
      <c r="BU167" s="11">
        <f>BU$5+SUM(BW$5:BW166)+SUM(R$5:R166)-SUM(S$5:S166)+SUM(BY$5,BY166)</f>
        <v>293553.65938844887</v>
      </c>
      <c r="BV167" s="10">
        <f t="shared" si="146"/>
        <v>-716.760185006796</v>
      </c>
      <c r="BW167" s="10">
        <f t="shared" si="147"/>
        <v>-1111.9456795017002</v>
      </c>
      <c r="BX167" s="10">
        <f t="shared" si="156"/>
        <v>-1828.7058645084962</v>
      </c>
      <c r="BY167" s="10">
        <f t="shared" si="157"/>
        <v>-470.5629718132245</v>
      </c>
      <c r="CA167" s="10">
        <f>CA$5+SUM(CB$5:CB166)+SUM(R$5:R166)-SUM(S$5:S166)-SUM(CC$5:CC166)</f>
        <v>354076.1435072534</v>
      </c>
      <c r="CB167" s="10">
        <f t="shared" si="150"/>
        <v>716.760185006796</v>
      </c>
      <c r="CC167" s="10">
        <f t="shared" si="151"/>
        <v>2299.2688363217208</v>
      </c>
      <c r="CD167" s="10">
        <f t="shared" si="152"/>
        <v>1582.508651314925</v>
      </c>
      <c r="CF167" s="44">
        <f t="shared" si="148"/>
        <v>0.4612</v>
      </c>
      <c r="CG167" s="10">
        <f t="shared" si="153"/>
        <v>-1060.42</v>
      </c>
      <c r="CH167" s="4">
        <f t="shared" si="158"/>
        <v>0</v>
      </c>
    </row>
    <row r="168" spans="1:86" ht="15.75">
      <c r="A168" s="36"/>
      <c r="B168" s="37">
        <v>42217</v>
      </c>
      <c r="C168" s="77">
        <f t="shared" si="142"/>
        <v>3.8929</v>
      </c>
      <c r="D168" s="78">
        <f>C168*(1+Podsumowanie!E$11)</f>
        <v>4.0096870000000004</v>
      </c>
      <c r="E168" s="34">
        <f t="shared" si="165"/>
        <v>-563.3279938145834</v>
      </c>
      <c r="F168" s="7">
        <f t="shared" si="166"/>
        <v>-2258.7689335344157</v>
      </c>
      <c r="G168" s="7">
        <f aca="true" t="shared" si="170" ref="G168:G176">U168</f>
        <v>-1242.4683365655312</v>
      </c>
      <c r="H168" s="7">
        <f t="shared" si="167"/>
        <v>1016.3005969688845</v>
      </c>
      <c r="I168" s="32"/>
      <c r="J168" s="4" t="str">
        <f t="shared" si="159"/>
        <v xml:space="preserve"> </v>
      </c>
      <c r="K168" s="4">
        <f>IF(B168&lt;Podsumowanie!E$7,0,K167+1)</f>
        <v>98</v>
      </c>
      <c r="L168" s="100">
        <f t="shared" si="143"/>
        <v>-0.0074</v>
      </c>
      <c r="M168" s="38">
        <f>L168+Podsumowanie!E$6</f>
        <v>0.0046</v>
      </c>
      <c r="N168" s="101">
        <f>MAX(Podsumowanie!E$4+SUM(AA$5:AA167)-SUM(X$5:X168)+SUM(W$5:W168),0)</f>
        <v>141415.22932090418</v>
      </c>
      <c r="O168" s="102">
        <f>MAX(Podsumowanie!E$2+SUM(V$5:V167)-SUM(S$5:S168)+SUM(R$5:R168),0)</f>
        <v>311903.4499769757</v>
      </c>
      <c r="P168" s="39">
        <f t="shared" si="131"/>
        <v>360</v>
      </c>
      <c r="Q168" s="40" t="str">
        <f>IF(AND(K168&gt;0,K168&lt;=Podsumowanie!E$9),"tak","nie")</f>
        <v>nie</v>
      </c>
      <c r="R168" s="41"/>
      <c r="S168" s="42"/>
      <c r="T168" s="88">
        <f t="shared" si="117"/>
        <v>-119.56298915784068</v>
      </c>
      <c r="U168" s="89">
        <f>IF(Q168="tak",T168,IF(P168-SUM(AB$5:AB168)+1&gt;0,IF(Podsumowanie!E$7&lt;B168,IF(SUM(AB$5:AB168)-Podsumowanie!E$9+1&gt;0,PMT(M168/12,P168+1-SUM(AB$5:AB168),O168),T168),0),0))</f>
        <v>-1242.4683365655312</v>
      </c>
      <c r="V168" s="89">
        <f t="shared" si="169"/>
        <v>-1122.9053474076904</v>
      </c>
      <c r="W168" s="90" t="str">
        <f>IF(R168&gt;0,R168/(C168*(1-Podsumowanie!E$11))," ")</f>
        <v xml:space="preserve"> </v>
      </c>
      <c r="X168" s="90" t="str">
        <f t="shared" si="160"/>
        <v xml:space="preserve"> </v>
      </c>
      <c r="Y168" s="91">
        <f t="shared" si="164"/>
        <v>-54.20917123967993</v>
      </c>
      <c r="Z168" s="90">
        <f>IF(P168-SUM(AB$5:AB168)+1&gt;0,IF(Podsumowanie!E$7&lt;B168,IF(SUM(AB$5:AB168)-Podsumowanie!E$9+1&gt;0,PMT(M168/12,P168+1-SUM(AB$5:AB168),N168),Y168),0),0)</f>
        <v>-563.3279938145834</v>
      </c>
      <c r="AA168" s="90">
        <f t="shared" si="168"/>
        <v>-509.11882257490345</v>
      </c>
      <c r="AB168" s="8">
        <f>IF(AND(Podsumowanie!E$7&lt;B168,SUM(AB$5:AB167)&lt;P167),1," ")</f>
        <v>1</v>
      </c>
      <c r="AD168" s="10">
        <f>Podsumowanie!E$4-SUM(AF$5:AF167)+SUM(W$42:W168)-SUM(X$42:X168)</f>
        <v>132861.02813555225</v>
      </c>
      <c r="AE168" s="10">
        <f t="shared" si="118"/>
        <v>50.93</v>
      </c>
      <c r="AF168" s="10">
        <f t="shared" si="119"/>
        <v>505.18</v>
      </c>
      <c r="AG168" s="10">
        <f t="shared" si="132"/>
        <v>556.11</v>
      </c>
      <c r="AH168" s="10">
        <f t="shared" si="161"/>
        <v>2229.83</v>
      </c>
      <c r="AI168" s="10">
        <f>Podsumowanie!E$2-SUM(AK$5:AK167)+SUM(R$42:R168)-SUM(S$42:S168)</f>
        <v>293035.90999999986</v>
      </c>
      <c r="AJ168" s="10">
        <f t="shared" si="120"/>
        <v>112.33</v>
      </c>
      <c r="AK168" s="10">
        <f t="shared" si="121"/>
        <v>1114.2</v>
      </c>
      <c r="AL168" s="10">
        <f t="shared" si="122"/>
        <v>1226.53</v>
      </c>
      <c r="AM168" s="10">
        <f t="shared" si="123"/>
        <v>1003.3</v>
      </c>
      <c r="AO168" s="43">
        <f t="shared" si="162"/>
        <v>42217</v>
      </c>
      <c r="AP168" s="11">
        <f>AP$5+SUM(AS$5:AS167)-SUM(X$5:X168)+SUM(W$5:W168)</f>
        <v>137172.77244127705</v>
      </c>
      <c r="AQ168" s="10">
        <f t="shared" si="124"/>
        <v>-52.582896102489535</v>
      </c>
      <c r="AR168" s="10">
        <f>IF(AB168=1,IF(Q168="tak",AQ168,PMT(M168/12,P168+1-SUM(AB$5:AB168),AP168)),0)</f>
        <v>-546.4281540001458</v>
      </c>
      <c r="AS168" s="10">
        <f t="shared" si="125"/>
        <v>-493.84525789765627</v>
      </c>
      <c r="AT168" s="10">
        <f t="shared" si="126"/>
        <v>-2127.1901607071677</v>
      </c>
      <c r="AV168" s="11">
        <f>AV$5+SUM(AX$5:AX167)+SUM(W$5:W167)-SUM(X$5:X167)</f>
        <v>128875.0471914857</v>
      </c>
      <c r="AW168" s="11">
        <f t="shared" si="127"/>
        <v>-52.582896102489535</v>
      </c>
      <c r="AX168" s="11">
        <f t="shared" si="128"/>
        <v>-490.02</v>
      </c>
      <c r="AY168" s="11">
        <f t="shared" si="133"/>
        <v>-542.6028961024895</v>
      </c>
      <c r="AZ168" s="11">
        <f t="shared" si="163"/>
        <v>-2112.298814237381</v>
      </c>
      <c r="BB168" s="191">
        <f t="shared" si="144"/>
        <v>0.0172</v>
      </c>
      <c r="BC168" s="44">
        <f>BB168+Podsumowanie!$E$6</f>
        <v>0.0292</v>
      </c>
      <c r="BD168" s="11">
        <f>BD$5+SUM(BE$5:BE167)+SUM(R$5:R167)-SUM(S$5:S167)</f>
        <v>344538.27223468345</v>
      </c>
      <c r="BE168" s="10">
        <f t="shared" si="135"/>
        <v>-931.9901596433843</v>
      </c>
      <c r="BF168" s="10">
        <f t="shared" si="130"/>
        <v>-838.3764624377296</v>
      </c>
      <c r="BG168" s="10">
        <f>IF(U168&lt;0,PMT(BC168/12,Podsumowanie!E$8-SUM(AB$5:AB168)+1,BD168),0)</f>
        <v>-1770.366622081114</v>
      </c>
      <c r="BI168" s="11">
        <f>BI$5+SUM(BK$5:BK167)+SUM(R$5:R167)-SUM(S$5:S167)</f>
        <v>293036.2116991642</v>
      </c>
      <c r="BJ168" s="11">
        <f t="shared" si="138"/>
        <v>-713.0547818012996</v>
      </c>
      <c r="BK168" s="11">
        <f t="shared" si="139"/>
        <v>-1114.2061281337042</v>
      </c>
      <c r="BL168" s="11">
        <f t="shared" si="140"/>
        <v>-1827.2609099350038</v>
      </c>
      <c r="BN168" s="44">
        <f t="shared" si="145"/>
        <v>0.0293</v>
      </c>
      <c r="BO168" s="11">
        <f>BO$5+SUM(BP$5:BP167)+SUM(R$5:R167)-SUM(S$5:S167)+SUM(BS$5:BS167)</f>
        <v>372939.4711124716</v>
      </c>
      <c r="BP168" s="10">
        <f t="shared" si="154"/>
        <v>-1007.5967278964926</v>
      </c>
      <c r="BQ168" s="10">
        <f t="shared" si="155"/>
        <v>-910.5938752996182</v>
      </c>
      <c r="BR168" s="10">
        <f>IF(U168&lt;0,PMT(BN168/12,Podsumowanie!E$8-SUM(AB$5:AB168)+1,BO168),0)</f>
        <v>-1918.1906031961107</v>
      </c>
      <c r="BS168" s="10">
        <f t="shared" si="149"/>
        <v>-340.578330338305</v>
      </c>
      <c r="BU168" s="11">
        <f>BU$5+SUM(BW$5:BW167)+SUM(R$5:R167)-SUM(S$5:S167)+SUM(BY$5,BY167)</f>
        <v>292424.6777460774</v>
      </c>
      <c r="BV168" s="10">
        <f t="shared" si="146"/>
        <v>-714.003588163339</v>
      </c>
      <c r="BW168" s="10">
        <f t="shared" si="147"/>
        <v>-1111.8809039774808</v>
      </c>
      <c r="BX168" s="10">
        <f t="shared" si="156"/>
        <v>-1825.88449214082</v>
      </c>
      <c r="BY168" s="10">
        <f t="shared" si="157"/>
        <v>-432.8844413935958</v>
      </c>
      <c r="CA168" s="10">
        <f>CA$5+SUM(CB$5:CB167)+SUM(R$5:R167)-SUM(S$5:S167)-SUM(CC$5:CC167)</f>
        <v>352493.63485593855</v>
      </c>
      <c r="CB168" s="10">
        <f t="shared" si="150"/>
        <v>714.003588163339</v>
      </c>
      <c r="CC168" s="10">
        <f t="shared" si="151"/>
        <v>2258.7689335344157</v>
      </c>
      <c r="CD168" s="10">
        <f t="shared" si="152"/>
        <v>1544.7653453710768</v>
      </c>
      <c r="CF168" s="44">
        <f t="shared" si="148"/>
        <v>0.4671</v>
      </c>
      <c r="CG168" s="10">
        <f t="shared" si="153"/>
        <v>-1055.07</v>
      </c>
      <c r="CH168" s="4">
        <f t="shared" si="158"/>
        <v>0</v>
      </c>
    </row>
    <row r="169" spans="1:86" ht="15.75">
      <c r="A169" s="36"/>
      <c r="B169" s="37">
        <v>42248</v>
      </c>
      <c r="C169" s="77">
        <f t="shared" si="142"/>
        <v>3.8605</v>
      </c>
      <c r="D169" s="78">
        <f>C169*(1+Podsumowanie!E$11)</f>
        <v>3.976315</v>
      </c>
      <c r="E169" s="34">
        <f t="shared" si="165"/>
        <v>-563.3279938145832</v>
      </c>
      <c r="F169" s="7">
        <f t="shared" si="166"/>
        <v>-2239.9695517248347</v>
      </c>
      <c r="G169" s="7">
        <f t="shared" si="170"/>
        <v>-1242.468336565531</v>
      </c>
      <c r="H169" s="7">
        <f t="shared" si="167"/>
        <v>997.5012151593037</v>
      </c>
      <c r="I169" s="32"/>
      <c r="J169" s="4" t="str">
        <f t="shared" si="159"/>
        <v xml:space="preserve"> </v>
      </c>
      <c r="K169" s="4">
        <f>IF(B169&lt;Podsumowanie!E$7,0,K168+1)</f>
        <v>99</v>
      </c>
      <c r="L169" s="100">
        <f t="shared" si="143"/>
        <v>-0.0074</v>
      </c>
      <c r="M169" s="38">
        <f>L169+Podsumowanie!E$6</f>
        <v>0.0046</v>
      </c>
      <c r="N169" s="101">
        <f>MAX(Podsumowanie!E$4+SUM(AA$5:AA168)-SUM(X$5:X169)+SUM(W$5:W169),0)</f>
        <v>140906.11049832928</v>
      </c>
      <c r="O169" s="102">
        <f>MAX(Podsumowanie!E$2+SUM(V$5:V168)-SUM(S$5:S169)+SUM(R$5:R169),0)</f>
        <v>310780.544629568</v>
      </c>
      <c r="P169" s="39">
        <f t="shared" si="131"/>
        <v>360</v>
      </c>
      <c r="Q169" s="40" t="str">
        <f>IF(AND(K169&gt;0,K169&lt;=Podsumowanie!E$9),"tak","nie")</f>
        <v>nie</v>
      </c>
      <c r="R169" s="41"/>
      <c r="S169" s="42"/>
      <c r="T169" s="88">
        <f t="shared" si="117"/>
        <v>-119.13254210800106</v>
      </c>
      <c r="U169" s="89">
        <f>IF(Q169="tak",T169,IF(P169-SUM(AB$5:AB169)+1&gt;0,IF(Podsumowanie!E$7&lt;B169,IF(SUM(AB$5:AB169)-Podsumowanie!E$9+1&gt;0,PMT(M169/12,P169+1-SUM(AB$5:AB169),O169),T169),0),0))</f>
        <v>-1242.468336565531</v>
      </c>
      <c r="V169" s="89">
        <f t="shared" si="169"/>
        <v>-1123.33579445753</v>
      </c>
      <c r="W169" s="90" t="str">
        <f>IF(R169&gt;0,R169/(C169*(1-Podsumowanie!E$11))," ")</f>
        <v xml:space="preserve"> </v>
      </c>
      <c r="X169" s="90" t="str">
        <f aca="true" t="shared" si="171" ref="X169:X200">IF(S169&gt;0,S169/D169," ")</f>
        <v xml:space="preserve"> </v>
      </c>
      <c r="Y169" s="91">
        <f t="shared" si="164"/>
        <v>-54.01400902435955</v>
      </c>
      <c r="Z169" s="90">
        <f>IF(P169-SUM(AB$5:AB169)+1&gt;0,IF(Podsumowanie!E$7&lt;B169,IF(SUM(AB$5:AB169)-Podsumowanie!E$9+1&gt;0,PMT(M169/12,P169+1-SUM(AB$5:AB169),N169),Y169),0),0)</f>
        <v>-563.3279938145832</v>
      </c>
      <c r="AA169" s="90">
        <f t="shared" si="168"/>
        <v>-509.3139847902237</v>
      </c>
      <c r="AB169" s="8">
        <f>IF(AND(Podsumowanie!E$7&lt;B169,SUM(AB$5:AB168)&lt;P168),1," ")</f>
        <v>1</v>
      </c>
      <c r="AD169" s="10">
        <f>Podsumowanie!E$4-SUM(AF$5:AF168)+SUM(W$42:W169)-SUM(X$42:X169)</f>
        <v>132355.84813555225</v>
      </c>
      <c r="AE169" s="10">
        <f t="shared" si="118"/>
        <v>50.74</v>
      </c>
      <c r="AF169" s="10">
        <f t="shared" si="119"/>
        <v>505.17</v>
      </c>
      <c r="AG169" s="10">
        <f t="shared" si="132"/>
        <v>555.91</v>
      </c>
      <c r="AH169" s="10">
        <f aca="true" t="shared" si="172" ref="AH169:AH200">ROUND(AG169*D169,2)</f>
        <v>2210.47</v>
      </c>
      <c r="AI169" s="10">
        <f>Podsumowanie!E$2-SUM(AK$5:AK168)+SUM(R$42:R169)-SUM(S$42:S169)</f>
        <v>291921.70999999985</v>
      </c>
      <c r="AJ169" s="10">
        <f t="shared" si="120"/>
        <v>111.9</v>
      </c>
      <c r="AK169" s="10">
        <f t="shared" si="121"/>
        <v>1114.21</v>
      </c>
      <c r="AL169" s="10">
        <f t="shared" si="122"/>
        <v>1226.1100000000001</v>
      </c>
      <c r="AM169" s="10">
        <f t="shared" si="123"/>
        <v>984.3599999999997</v>
      </c>
      <c r="AO169" s="43">
        <f aca="true" t="shared" si="173" ref="AO169:AO200">B169</f>
        <v>42248</v>
      </c>
      <c r="AP169" s="11">
        <f>AP$5+SUM(AS$5:AS168)-SUM(X$5:X169)+SUM(W$5:W169)</f>
        <v>136678.9271833794</v>
      </c>
      <c r="AQ169" s="10">
        <f t="shared" si="124"/>
        <v>-52.39358875362876</v>
      </c>
      <c r="AR169" s="10">
        <f>IF(AB169=1,IF(Q169="tak",AQ169,PMT(M169/12,P169+1-SUM(AB$5:AB169),AP169)),0)</f>
        <v>-546.4281540001457</v>
      </c>
      <c r="AS169" s="10">
        <f t="shared" si="125"/>
        <v>-494.03456524651693</v>
      </c>
      <c r="AT169" s="10">
        <f t="shared" si="126"/>
        <v>-2109.4858885175627</v>
      </c>
      <c r="AV169" s="11">
        <f>AV$5+SUM(AX$5:AX168)+SUM(W$5:W168)-SUM(X$5:X168)</f>
        <v>128385.0271914857</v>
      </c>
      <c r="AW169" s="11">
        <f t="shared" si="127"/>
        <v>-52.39358875362876</v>
      </c>
      <c r="AX169" s="11">
        <f t="shared" si="128"/>
        <v>-490.02</v>
      </c>
      <c r="AY169" s="11">
        <f t="shared" si="133"/>
        <v>-542.4135887536288</v>
      </c>
      <c r="AZ169" s="11">
        <f aca="true" t="shared" si="174" ref="AZ169:AZ200">AY169*C169</f>
        <v>-2093.987659383384</v>
      </c>
      <c r="BB169" s="191">
        <f t="shared" si="144"/>
        <v>0.0172</v>
      </c>
      <c r="BC169" s="44">
        <f>BB169+Podsumowanie!$E$6</f>
        <v>0.0292</v>
      </c>
      <c r="BD169" s="11">
        <f>BD$5+SUM(BE$5:BE168)+SUM(R$5:R168)-SUM(S$5:S168)</f>
        <v>343606.28207504004</v>
      </c>
      <c r="BE169" s="10">
        <f t="shared" si="135"/>
        <v>-934.2580023651825</v>
      </c>
      <c r="BF169" s="10">
        <f t="shared" si="130"/>
        <v>-836.1086197159308</v>
      </c>
      <c r="BG169" s="10">
        <f>IF(U169&lt;0,PMT(BC169/12,Podsumowanie!E$8-SUM(AB$5:AB169)+1,BD169),0)</f>
        <v>-1770.3666220811133</v>
      </c>
      <c r="BI169" s="11">
        <f>BI$5+SUM(BK$5:BK168)+SUM(R$5:R168)-SUM(S$5:S168)</f>
        <v>291922.00557103043</v>
      </c>
      <c r="BJ169" s="11">
        <f t="shared" si="138"/>
        <v>-710.3435468895074</v>
      </c>
      <c r="BK169" s="11">
        <f t="shared" si="139"/>
        <v>-1114.206128133704</v>
      </c>
      <c r="BL169" s="11">
        <f t="shared" si="140"/>
        <v>-1824.5496750232114</v>
      </c>
      <c r="BN169" s="44">
        <f t="shared" si="145"/>
        <v>0.0293</v>
      </c>
      <c r="BO169" s="11">
        <f>BO$5+SUM(BP$5:BP168)+SUM(R$5:R168)-SUM(S$5:S168)+SUM(BS$5:BS168)</f>
        <v>371591.2960542368</v>
      </c>
      <c r="BP169" s="10">
        <f t="shared" si="154"/>
        <v>-1009.1320332475965</v>
      </c>
      <c r="BQ169" s="10">
        <f t="shared" si="155"/>
        <v>-907.3020811990949</v>
      </c>
      <c r="BR169" s="10">
        <f>IF(U169&lt;0,PMT(BN169/12,Podsumowanie!E$8-SUM(AB$5:AB169)+1,BO169),0)</f>
        <v>-1916.4341144466914</v>
      </c>
      <c r="BS169" s="10">
        <f t="shared" si="149"/>
        <v>-323.53543727814326</v>
      </c>
      <c r="BU169" s="11">
        <f>BU$5+SUM(BW$5:BW168)+SUM(R$5:R168)-SUM(S$5:S168)+SUM(BY$5,BY168)</f>
        <v>291350.4753725195</v>
      </c>
      <c r="BV169" s="10">
        <f t="shared" si="146"/>
        <v>-711.3807440345685</v>
      </c>
      <c r="BW169" s="10">
        <f t="shared" si="147"/>
        <v>-1112.0247151622882</v>
      </c>
      <c r="BX169" s="10">
        <f t="shared" si="156"/>
        <v>-1823.4054591968566</v>
      </c>
      <c r="BY169" s="10">
        <f t="shared" si="157"/>
        <v>-416.5640925279781</v>
      </c>
      <c r="CA169" s="10">
        <f>CA$5+SUM(CB$5:CB168)+SUM(R$5:R168)-SUM(S$5:S168)-SUM(CC$5:CC168)</f>
        <v>350948.8695105674</v>
      </c>
      <c r="CB169" s="10">
        <f t="shared" si="150"/>
        <v>711.3807440345685</v>
      </c>
      <c r="CC169" s="10">
        <f t="shared" si="151"/>
        <v>2239.9695517248347</v>
      </c>
      <c r="CD169" s="10">
        <f t="shared" si="152"/>
        <v>1528.588807690266</v>
      </c>
      <c r="CF169" s="44">
        <f t="shared" si="148"/>
        <v>0.4715</v>
      </c>
      <c r="CG169" s="10">
        <f t="shared" si="153"/>
        <v>-1056.15</v>
      </c>
      <c r="CH169" s="4">
        <f t="shared" si="158"/>
        <v>0</v>
      </c>
    </row>
    <row r="170" spans="1:86" ht="15.75">
      <c r="A170" s="36"/>
      <c r="B170" s="37">
        <v>42278</v>
      </c>
      <c r="C170" s="77">
        <f t="shared" si="142"/>
        <v>3.9055</v>
      </c>
      <c r="D170" s="78">
        <f>C170*(1+Podsumowanie!E$11)</f>
        <v>4.022665</v>
      </c>
      <c r="E170" s="34">
        <f t="shared" si="165"/>
        <v>-563.3279938145834</v>
      </c>
      <c r="F170" s="7">
        <f t="shared" si="166"/>
        <v>-2266.0798042381407</v>
      </c>
      <c r="G170" s="7">
        <f t="shared" si="170"/>
        <v>-1242.4683365655314</v>
      </c>
      <c r="H170" s="7">
        <f t="shared" si="167"/>
        <v>1023.6114676726093</v>
      </c>
      <c r="I170" s="32"/>
      <c r="J170" s="4" t="str">
        <f t="shared" si="159"/>
        <v xml:space="preserve"> </v>
      </c>
      <c r="K170" s="4">
        <f>IF(B170&lt;Podsumowanie!E$7,0,K169+1)</f>
        <v>100</v>
      </c>
      <c r="L170" s="100">
        <f t="shared" si="143"/>
        <v>-0.0074</v>
      </c>
      <c r="M170" s="38">
        <f>L170+Podsumowanie!E$6</f>
        <v>0.0046</v>
      </c>
      <c r="N170" s="101">
        <f>MAX(Podsumowanie!E$4+SUM(AA$5:AA169)-SUM(X$5:X170)+SUM(W$5:W170),0)</f>
        <v>140396.79651353904</v>
      </c>
      <c r="O170" s="102">
        <f>MAX(Podsumowanie!E$2+SUM(V$5:V169)-SUM(S$5:S170)+SUM(R$5:R170),0)</f>
        <v>309657.2088351105</v>
      </c>
      <c r="P170" s="39">
        <f t="shared" si="131"/>
        <v>360</v>
      </c>
      <c r="Q170" s="40" t="str">
        <f>IF(AND(K170&gt;0,K170&lt;=Podsumowanie!E$9),"tak","nie")</f>
        <v>nie</v>
      </c>
      <c r="R170" s="41"/>
      <c r="S170" s="42"/>
      <c r="T170" s="88">
        <f aca="true" t="shared" si="175" ref="T170:T181">IF(AB170=1,-O170*M170/12,0)</f>
        <v>-118.70193005345902</v>
      </c>
      <c r="U170" s="89">
        <f>IF(Q170="tak",T170,IF(P170-SUM(AB$5:AB170)+1&gt;0,IF(Podsumowanie!E$7&lt;B170,IF(SUM(AB$5:AB170)-Podsumowanie!E$9+1&gt;0,PMT(M170/12,P170+1-SUM(AB$5:AB170),O170),T170),0),0))</f>
        <v>-1242.4683365655314</v>
      </c>
      <c r="V170" s="89">
        <f t="shared" si="169"/>
        <v>-1123.7664065120725</v>
      </c>
      <c r="W170" s="90" t="str">
        <f>IF(R170&gt;0,R170/(C170*(1-Podsumowanie!E$11))," ")</f>
        <v xml:space="preserve"> </v>
      </c>
      <c r="X170" s="90" t="str">
        <f t="shared" si="171"/>
        <v xml:space="preserve"> </v>
      </c>
      <c r="Y170" s="91">
        <f t="shared" si="164"/>
        <v>-53.81877199685663</v>
      </c>
      <c r="Z170" s="90">
        <f>IF(P170-SUM(AB$5:AB170)+1&gt;0,IF(Podsumowanie!E$7&lt;B170,IF(SUM(AB$5:AB170)-Podsumowanie!E$9+1&gt;0,PMT(M170/12,P170+1-SUM(AB$5:AB170),N170),Y170),0),0)</f>
        <v>-563.3279938145834</v>
      </c>
      <c r="AA170" s="90">
        <f t="shared" si="168"/>
        <v>-509.5092218177267</v>
      </c>
      <c r="AB170" s="8">
        <f>IF(AND(Podsumowanie!E$7&lt;B170,SUM(AB$5:AB169)&lt;P169),1," ")</f>
        <v>1</v>
      </c>
      <c r="AD170" s="10">
        <f>Podsumowanie!E$4-SUM(AF$5:AF169)+SUM(W$42:W170)-SUM(X$42:X170)</f>
        <v>131850.67813555224</v>
      </c>
      <c r="AE170" s="10">
        <f aca="true" t="shared" si="176" ref="AE170:AE181">IF(AB170=1,ROUND(AD170*M170/12,2),0)</f>
        <v>50.54</v>
      </c>
      <c r="AF170" s="10">
        <f aca="true" t="shared" si="177" ref="AF170:AF181">IF(Q170="tak",0,IF(AB170=1,ROUND(AD170/(P170-K170+1),2),0))</f>
        <v>505.18</v>
      </c>
      <c r="AG170" s="10">
        <f t="shared" si="132"/>
        <v>555.72</v>
      </c>
      <c r="AH170" s="10">
        <f t="shared" si="172"/>
        <v>2235.48</v>
      </c>
      <c r="AI170" s="10">
        <f>Podsumowanie!E$2-SUM(AK$5:AK169)+SUM(R$42:R170)-SUM(S$42:S170)</f>
        <v>290807.4999999999</v>
      </c>
      <c r="AJ170" s="10">
        <f aca="true" t="shared" si="178" ref="AJ170:AJ181">IF(AB170=1,ROUND(AI170*M170/12,2),0)</f>
        <v>111.48</v>
      </c>
      <c r="AK170" s="10">
        <f aca="true" t="shared" si="179" ref="AK170:AK181">IF(Q170="tak",0,IF(AB170=1,ROUND(AI170/(P170-K170+1),2),0))</f>
        <v>1114.2</v>
      </c>
      <c r="AL170" s="10">
        <f aca="true" t="shared" si="180" ref="AL170:AL176">AK170+AJ170</f>
        <v>1225.68</v>
      </c>
      <c r="AM170" s="10">
        <f aca="true" t="shared" si="181" ref="AM170:AM176">AH170-AL170</f>
        <v>1009.8</v>
      </c>
      <c r="AO170" s="43">
        <f t="shared" si="173"/>
        <v>42278</v>
      </c>
      <c r="AP170" s="11">
        <f>AP$5+SUM(AS$5:AS169)-SUM(X$5:X170)+SUM(W$5:W170)</f>
        <v>136184.89261813287</v>
      </c>
      <c r="AQ170" s="10">
        <f aca="true" t="shared" si="182" ref="AQ170:AQ181">IF(AB170=1,-AP170*M170/12,0)</f>
        <v>-52.20420883695093</v>
      </c>
      <c r="AR170" s="10">
        <f>IF(AB170=1,IF(Q170="tak",AQ170,PMT(M170/12,P170+1-SUM(AB$5:AB170),AP170)),0)</f>
        <v>-546.4281540001458</v>
      </c>
      <c r="AS170" s="10">
        <f aca="true" t="shared" si="183" ref="AS170:AS202">AR170-AQ170</f>
        <v>-494.22394516319486</v>
      </c>
      <c r="AT170" s="10">
        <f aca="true" t="shared" si="184" ref="AT170:AT228">AR170*C170</f>
        <v>-2134.0751554475696</v>
      </c>
      <c r="AV170" s="11">
        <f>AV$5+SUM(AX$5:AX169)+SUM(W$5:W169)-SUM(X$5:X169)</f>
        <v>127895.0071914857</v>
      </c>
      <c r="AW170" s="11">
        <f aca="true" t="shared" si="185" ref="AW170:AW181">IF(AB170=1,-AP170*M170/12,0)</f>
        <v>-52.20420883695093</v>
      </c>
      <c r="AX170" s="11">
        <f aca="true" t="shared" si="186" ref="AX170:AX181">IF(AB170=1,IF(Q170="tak",0,ROUND(-AV170/(P170-K170+1),2)),0)</f>
        <v>-490.02</v>
      </c>
      <c r="AY170" s="11">
        <f t="shared" si="133"/>
        <v>-542.2242088369509</v>
      </c>
      <c r="AZ170" s="11">
        <f t="shared" si="174"/>
        <v>-2117.656647612712</v>
      </c>
      <c r="BB170" s="191">
        <f t="shared" si="144"/>
        <v>0.0173</v>
      </c>
      <c r="BC170" s="44">
        <f>BB170+Podsumowanie!$E$6</f>
        <v>0.0293</v>
      </c>
      <c r="BD170" s="11">
        <f>BD$5+SUM(BE$5:BE169)+SUM(R$5:R169)-SUM(S$5:S169)</f>
        <v>342672.0240726749</v>
      </c>
      <c r="BE170" s="10">
        <f t="shared" si="135"/>
        <v>-935.4083428510927</v>
      </c>
      <c r="BF170" s="10">
        <f aca="true" t="shared" si="187" ref="BF170:BF176">IF(BG170&lt;0,-BD170*BC170/12,0)</f>
        <v>-836.6908587774479</v>
      </c>
      <c r="BG170" s="10">
        <f>IF(U170&lt;0,PMT(BC170/12,Podsumowanie!E$8-SUM(AB$5:AB170)+1,BD170),0)</f>
        <v>-1772.0992016285406</v>
      </c>
      <c r="BI170" s="11">
        <f>BI$5+SUM(BK$5:BK169)+SUM(R$5:R169)-SUM(S$5:S169)</f>
        <v>290807.79944289674</v>
      </c>
      <c r="BJ170" s="11">
        <f t="shared" si="138"/>
        <v>-710.0557103064061</v>
      </c>
      <c r="BK170" s="11">
        <f t="shared" si="139"/>
        <v>-1114.206128133704</v>
      </c>
      <c r="BL170" s="11">
        <f aca="true" t="shared" si="188" ref="BL170:BL232">BK170+BJ170</f>
        <v>-1824.26183844011</v>
      </c>
      <c r="BN170" s="44">
        <f t="shared" si="145"/>
        <v>0.0294</v>
      </c>
      <c r="BO170" s="11">
        <f>BO$5+SUM(BP$5:BP169)+SUM(R$5:R169)-SUM(S$5:S169)+SUM(BS$5:BS169)</f>
        <v>370258.6285837111</v>
      </c>
      <c r="BP170" s="10">
        <f t="shared" si="154"/>
        <v>-1009.5004723427897</v>
      </c>
      <c r="BQ170" s="10">
        <f t="shared" si="155"/>
        <v>-907.1336400300921</v>
      </c>
      <c r="BR170" s="10">
        <f>IF(U170&lt;0,PMT(BN170/12,Podsumowanie!E$8-SUM(AB$5:AB170)+1,BO170),0)</f>
        <v>-1916.6341123728819</v>
      </c>
      <c r="BS170" s="10">
        <f t="shared" si="149"/>
        <v>-349.4456918652588</v>
      </c>
      <c r="BU170" s="11">
        <f>BU$5+SUM(BW$5:BW169)+SUM(R$5:R169)-SUM(S$5:S169)+SUM(BY$5,BY169)</f>
        <v>290254.7710062229</v>
      </c>
      <c r="BV170" s="10">
        <f t="shared" si="146"/>
        <v>-711.124188965246</v>
      </c>
      <c r="BW170" s="10">
        <f t="shared" si="147"/>
        <v>-1112.0872452345704</v>
      </c>
      <c r="BX170" s="10">
        <f t="shared" si="156"/>
        <v>-1823.2114341998165</v>
      </c>
      <c r="BY170" s="10">
        <f t="shared" si="157"/>
        <v>-442.8683700383242</v>
      </c>
      <c r="CA170" s="10">
        <f>CA$5+SUM(CB$5:CB169)+SUM(R$5:R169)-SUM(S$5:S169)-SUM(CC$5:CC169)</f>
        <v>349420.2807028771</v>
      </c>
      <c r="CB170" s="10">
        <f t="shared" si="150"/>
        <v>711.124188965246</v>
      </c>
      <c r="CC170" s="10">
        <f t="shared" si="151"/>
        <v>2266.0798042381407</v>
      </c>
      <c r="CD170" s="10">
        <f t="shared" si="152"/>
        <v>1554.9556152728946</v>
      </c>
      <c r="CF170" s="44">
        <f t="shared" si="148"/>
        <v>0.47</v>
      </c>
      <c r="CG170" s="10">
        <f t="shared" si="153"/>
        <v>-1065.06</v>
      </c>
      <c r="CH170" s="4">
        <f t="shared" si="158"/>
        <v>0</v>
      </c>
    </row>
    <row r="171" spans="1:86" ht="15.75">
      <c r="A171" s="36"/>
      <c r="B171" s="37">
        <v>42309</v>
      </c>
      <c r="C171" s="77">
        <f t="shared" si="142"/>
        <v>3.9239</v>
      </c>
      <c r="D171" s="78">
        <f>C171*(1+Podsumowanie!E$11)</f>
        <v>4.0416170000000005</v>
      </c>
      <c r="E171" s="34">
        <f t="shared" si="165"/>
        <v>-563.3279938145834</v>
      </c>
      <c r="F171" s="7">
        <f t="shared" si="166"/>
        <v>-2276.7559963769154</v>
      </c>
      <c r="G171" s="7">
        <f t="shared" si="170"/>
        <v>-1242.4683365655314</v>
      </c>
      <c r="H171" s="7">
        <f t="shared" si="167"/>
        <v>1034.287659811384</v>
      </c>
      <c r="I171" s="32"/>
      <c r="J171" s="4" t="str">
        <f t="shared" si="159"/>
        <v xml:space="preserve"> </v>
      </c>
      <c r="K171" s="4">
        <f>IF(B171&lt;Podsumowanie!E$7,0,K170+1)</f>
        <v>101</v>
      </c>
      <c r="L171" s="100">
        <f t="shared" si="143"/>
        <v>-0.0074</v>
      </c>
      <c r="M171" s="38">
        <f>L171+Podsumowanie!E$6</f>
        <v>0.0046</v>
      </c>
      <c r="N171" s="101">
        <f>MAX(Podsumowanie!E$4+SUM(AA$5:AA170)-SUM(X$5:X171)+SUM(W$5:W171),0)</f>
        <v>139887.28729172132</v>
      </c>
      <c r="O171" s="102">
        <f>MAX(Podsumowanie!E$2+SUM(V$5:V170)-SUM(S$5:S171)+SUM(R$5:R171),0)</f>
        <v>308533.4424285984</v>
      </c>
      <c r="P171" s="39">
        <f aca="true" t="shared" si="189" ref="P171:P234">P170</f>
        <v>360</v>
      </c>
      <c r="Q171" s="40" t="str">
        <f>IF(AND(K171&gt;0,K171&lt;=Podsumowanie!E$9),"tak","nie")</f>
        <v>nie</v>
      </c>
      <c r="R171" s="41"/>
      <c r="S171" s="42"/>
      <c r="T171" s="88">
        <f t="shared" si="175"/>
        <v>-118.27115293096273</v>
      </c>
      <c r="U171" s="89">
        <f>IF(Q171="tak",T171,IF(P171-SUM(AB$5:AB171)+1&gt;0,IF(Podsumowanie!E$7&lt;B171,IF(SUM(AB$5:AB171)-Podsumowanie!E$9+1&gt;0,PMT(M171/12,P171+1-SUM(AB$5:AB171),O171),T171),0),0))</f>
        <v>-1242.4683365655314</v>
      </c>
      <c r="V171" s="89">
        <f t="shared" si="169"/>
        <v>-1124.1971836345688</v>
      </c>
      <c r="W171" s="90" t="str">
        <f>IF(R171&gt;0,R171/(C171*(1-Podsumowanie!E$11))," ")</f>
        <v xml:space="preserve"> </v>
      </c>
      <c r="X171" s="90" t="str">
        <f t="shared" si="171"/>
        <v xml:space="preserve"> </v>
      </c>
      <c r="Y171" s="91">
        <f t="shared" si="164"/>
        <v>-53.62346012849317</v>
      </c>
      <c r="Z171" s="90">
        <f>IF(P171-SUM(AB$5:AB171)+1&gt;0,IF(Podsumowanie!E$7&lt;B171,IF(SUM(AB$5:AB171)-Podsumowanie!E$9+1&gt;0,PMT(M171/12,P171+1-SUM(AB$5:AB171),N171),Y171),0),0)</f>
        <v>-563.3279938145834</v>
      </c>
      <c r="AA171" s="90">
        <f t="shared" si="168"/>
        <v>-509.7045336860902</v>
      </c>
      <c r="AB171" s="8">
        <f>IF(AND(Podsumowanie!E$7&lt;B171,SUM(AB$5:AB170)&lt;P170),1," ")</f>
        <v>1</v>
      </c>
      <c r="AD171" s="10">
        <f>Podsumowanie!E$4-SUM(AF$5:AF170)+SUM(W$42:W171)-SUM(X$42:X171)</f>
        <v>131345.49813555225</v>
      </c>
      <c r="AE171" s="10">
        <f t="shared" si="176"/>
        <v>50.35</v>
      </c>
      <c r="AF171" s="10">
        <f t="shared" si="177"/>
        <v>505.17</v>
      </c>
      <c r="AG171" s="10">
        <f aca="true" t="shared" si="190" ref="AG171:AG176">AF171+AE171</f>
        <v>555.52</v>
      </c>
      <c r="AH171" s="10">
        <f t="shared" si="172"/>
        <v>2245.2</v>
      </c>
      <c r="AI171" s="10">
        <f>Podsumowanie!E$2-SUM(AK$5:AK170)+SUM(R$42:R171)-SUM(S$42:S171)</f>
        <v>289693.2999999999</v>
      </c>
      <c r="AJ171" s="10">
        <f t="shared" si="178"/>
        <v>111.05</v>
      </c>
      <c r="AK171" s="10">
        <f t="shared" si="179"/>
        <v>1114.21</v>
      </c>
      <c r="AL171" s="10">
        <f t="shared" si="180"/>
        <v>1225.26</v>
      </c>
      <c r="AM171" s="10">
        <f t="shared" si="181"/>
        <v>1019.9399999999998</v>
      </c>
      <c r="AO171" s="43">
        <f t="shared" si="173"/>
        <v>42309</v>
      </c>
      <c r="AP171" s="11">
        <f>AP$5+SUM(AS$5:AS170)-SUM(X$5:X171)+SUM(W$5:W171)</f>
        <v>135690.66867296968</v>
      </c>
      <c r="AQ171" s="10">
        <f t="shared" si="182"/>
        <v>-52.01475632463838</v>
      </c>
      <c r="AR171" s="10">
        <f>IF(AB171=1,IF(Q171="tak",AQ171,PMT(M171/12,P171+1-SUM(AB$5:AB171),AP171)),0)</f>
        <v>-546.4281540001458</v>
      </c>
      <c r="AS171" s="10">
        <f t="shared" si="183"/>
        <v>-494.41339767550744</v>
      </c>
      <c r="AT171" s="10">
        <f t="shared" si="184"/>
        <v>-2144.1294334811723</v>
      </c>
      <c r="AV171" s="11">
        <f>AV$5+SUM(AX$5:AX170)+SUM(W$5:W170)-SUM(X$5:X170)</f>
        <v>127404.9871914857</v>
      </c>
      <c r="AW171" s="11">
        <f t="shared" si="185"/>
        <v>-52.01475632463838</v>
      </c>
      <c r="AX171" s="11">
        <f t="shared" si="186"/>
        <v>-490.02</v>
      </c>
      <c r="AY171" s="11">
        <f t="shared" si="133"/>
        <v>-542.0347563246384</v>
      </c>
      <c r="AZ171" s="11">
        <f t="shared" si="174"/>
        <v>-2126.8901803422486</v>
      </c>
      <c r="BB171" s="191">
        <f t="shared" si="144"/>
        <v>0.0173</v>
      </c>
      <c r="BC171" s="44">
        <f>BB171+Podsumowanie!$E$6</f>
        <v>0.0293</v>
      </c>
      <c r="BD171" s="11">
        <f>BD$5+SUM(BE$5:BE170)+SUM(R$5:R170)-SUM(S$5:S170)</f>
        <v>341736.6157298238</v>
      </c>
      <c r="BE171" s="10">
        <f t="shared" si="135"/>
        <v>-937.6922982215541</v>
      </c>
      <c r="BF171" s="10">
        <f t="shared" si="187"/>
        <v>-834.4069034069865</v>
      </c>
      <c r="BG171" s="10">
        <f>IF(U171&lt;0,PMT(BC171/12,Podsumowanie!E$8-SUM(AB$5:AB171)+1,BD171),0)</f>
        <v>-1772.0992016285406</v>
      </c>
      <c r="BI171" s="11">
        <f>BI$5+SUM(BK$5:BK170)+SUM(R$5:R170)-SUM(S$5:S170)</f>
        <v>289693.59331476304</v>
      </c>
      <c r="BJ171" s="11">
        <f t="shared" si="138"/>
        <v>-707.3351903435464</v>
      </c>
      <c r="BK171" s="11">
        <f t="shared" si="139"/>
        <v>-1114.206128133704</v>
      </c>
      <c r="BL171" s="11">
        <f t="shared" si="188"/>
        <v>-1821.5413184772503</v>
      </c>
      <c r="BN171" s="44">
        <f t="shared" si="145"/>
        <v>0.0294</v>
      </c>
      <c r="BO171" s="11">
        <f>BO$5+SUM(BP$5:BP170)+SUM(R$5:R170)-SUM(S$5:S170)+SUM(BS$5:BS170)</f>
        <v>368899.68241950305</v>
      </c>
      <c r="BP171" s="10">
        <f t="shared" si="154"/>
        <v>-1011.0160485631258</v>
      </c>
      <c r="BQ171" s="10">
        <f t="shared" si="155"/>
        <v>-903.8042219277824</v>
      </c>
      <c r="BR171" s="10">
        <f>IF(U171&lt;0,PMT(BN171/12,Podsumowanie!E$8-SUM(AB$5:AB171)+1,BO171),0)</f>
        <v>-1914.8202704909081</v>
      </c>
      <c r="BS171" s="10">
        <f t="shared" si="149"/>
        <v>-361.9357258860073</v>
      </c>
      <c r="BU171" s="11">
        <f>BU$5+SUM(BW$5:BW170)+SUM(R$5:R170)-SUM(S$5:S170)+SUM(BY$5,BY170)</f>
        <v>289116.3794834779</v>
      </c>
      <c r="BV171" s="10">
        <f t="shared" si="146"/>
        <v>-708.3351297345208</v>
      </c>
      <c r="BW171" s="10">
        <f t="shared" si="147"/>
        <v>-1111.9860749364534</v>
      </c>
      <c r="BX171" s="10">
        <f t="shared" si="156"/>
        <v>-1820.321204670974</v>
      </c>
      <c r="BY171" s="10">
        <f t="shared" si="157"/>
        <v>-456.4347917059413</v>
      </c>
      <c r="CA171" s="10">
        <f>CA$5+SUM(CB$5:CB170)+SUM(R$5:R170)-SUM(S$5:S170)-SUM(CC$5:CC170)</f>
        <v>347865.3250876043</v>
      </c>
      <c r="CB171" s="10">
        <f t="shared" si="150"/>
        <v>708.3351297345208</v>
      </c>
      <c r="CC171" s="10">
        <f t="shared" si="151"/>
        <v>2276.7559963769154</v>
      </c>
      <c r="CD171" s="10">
        <f t="shared" si="152"/>
        <v>1568.4208666423947</v>
      </c>
      <c r="CF171" s="44">
        <f t="shared" si="148"/>
        <v>0.4715</v>
      </c>
      <c r="CG171" s="10">
        <f t="shared" si="153"/>
        <v>-1073.49</v>
      </c>
      <c r="CH171" s="4">
        <f t="shared" si="158"/>
        <v>0</v>
      </c>
    </row>
    <row r="172" spans="1:86" ht="15.75">
      <c r="A172" s="36"/>
      <c r="B172" s="37">
        <v>42339</v>
      </c>
      <c r="C172" s="77">
        <f t="shared" si="142"/>
        <v>3.9613</v>
      </c>
      <c r="D172" s="78">
        <f>C172*(1+Podsumowanie!E$11)</f>
        <v>4.080139</v>
      </c>
      <c r="E172" s="34">
        <f t="shared" si="165"/>
        <v>-563.3279938145834</v>
      </c>
      <c r="F172" s="7">
        <f t="shared" si="166"/>
        <v>-2298.4565173546403</v>
      </c>
      <c r="G172" s="7">
        <f t="shared" si="170"/>
        <v>-1242.4683365655312</v>
      </c>
      <c r="H172" s="7">
        <f t="shared" si="167"/>
        <v>1055.988180789109</v>
      </c>
      <c r="I172" s="32"/>
      <c r="J172" s="4" t="str">
        <f t="shared" si="159"/>
        <v xml:space="preserve"> </v>
      </c>
      <c r="K172" s="4">
        <f>IF(B172&lt;Podsumowanie!E$7,0,K171+1)</f>
        <v>102</v>
      </c>
      <c r="L172" s="100">
        <f t="shared" si="143"/>
        <v>-0.0074</v>
      </c>
      <c r="M172" s="38">
        <f>L172+Podsumowanie!E$6</f>
        <v>0.0046</v>
      </c>
      <c r="N172" s="101">
        <f>MAX(Podsumowanie!E$4+SUM(AA$5:AA171)-SUM(X$5:X172)+SUM(W$5:W172),0)</f>
        <v>139377.58275803525</v>
      </c>
      <c r="O172" s="102">
        <f>MAX(Podsumowanie!E$2+SUM(V$5:V171)-SUM(S$5:S172)+SUM(R$5:R172),0)</f>
        <v>307409.2452449638</v>
      </c>
      <c r="P172" s="39">
        <f t="shared" si="189"/>
        <v>360</v>
      </c>
      <c r="Q172" s="40" t="str">
        <f>IF(AND(K172&gt;0,K172&lt;=Podsumowanie!E$9),"tak","nie")</f>
        <v>nie</v>
      </c>
      <c r="R172" s="41"/>
      <c r="S172" s="42"/>
      <c r="T172" s="88">
        <f t="shared" si="175"/>
        <v>-117.84021067723613</v>
      </c>
      <c r="U172" s="89">
        <f>IF(Q172="tak",T172,IF(P172-SUM(AB$5:AB172)+1&gt;0,IF(Podsumowanie!E$7&lt;B172,IF(SUM(AB$5:AB172)-Podsumowanie!E$9+1&gt;0,PMT(M172/12,P172+1-SUM(AB$5:AB172),O172),T172),0),0))</f>
        <v>-1242.4683365655312</v>
      </c>
      <c r="V172" s="89">
        <f t="shared" si="169"/>
        <v>-1124.628125888295</v>
      </c>
      <c r="W172" s="90" t="str">
        <f>IF(R172&gt;0,R172/(C172*(1-Podsumowanie!E$11))," ")</f>
        <v xml:space="preserve"> </v>
      </c>
      <c r="X172" s="90" t="str">
        <f t="shared" si="171"/>
        <v xml:space="preserve"> </v>
      </c>
      <c r="Y172" s="91">
        <f t="shared" si="164"/>
        <v>-53.42807339058018</v>
      </c>
      <c r="Z172" s="90">
        <f>IF(P172-SUM(AB$5:AB172)+1&gt;0,IF(Podsumowanie!E$7&lt;B172,IF(SUM(AB$5:AB172)-Podsumowanie!E$9+1&gt;0,PMT(M172/12,P172+1-SUM(AB$5:AB172),N172),Y172),0),0)</f>
        <v>-563.3279938145834</v>
      </c>
      <c r="AA172" s="90">
        <f t="shared" si="168"/>
        <v>-509.8999204240032</v>
      </c>
      <c r="AB172" s="8">
        <f>IF(AND(Podsumowanie!E$7&lt;B172,SUM(AB$5:AB171)&lt;P171),1," ")</f>
        <v>1</v>
      </c>
      <c r="AD172" s="10">
        <f>Podsumowanie!E$4-SUM(AF$5:AF171)+SUM(W$42:W172)-SUM(X$42:X172)</f>
        <v>130840.32813555225</v>
      </c>
      <c r="AE172" s="10">
        <f t="shared" si="176"/>
        <v>50.16</v>
      </c>
      <c r="AF172" s="10">
        <f t="shared" si="177"/>
        <v>505.18</v>
      </c>
      <c r="AG172" s="10">
        <f t="shared" si="190"/>
        <v>555.34</v>
      </c>
      <c r="AH172" s="10">
        <f t="shared" si="172"/>
        <v>2265.86</v>
      </c>
      <c r="AI172" s="10">
        <f>Podsumowanie!E$2-SUM(AK$5:AK171)+SUM(R$42:R172)-SUM(S$42:S172)</f>
        <v>288579.08999999985</v>
      </c>
      <c r="AJ172" s="10">
        <f t="shared" si="178"/>
        <v>110.62</v>
      </c>
      <c r="AK172" s="10">
        <f t="shared" si="179"/>
        <v>1114.2</v>
      </c>
      <c r="AL172" s="10">
        <f t="shared" si="180"/>
        <v>1224.8200000000002</v>
      </c>
      <c r="AM172" s="10">
        <f t="shared" si="181"/>
        <v>1041.04</v>
      </c>
      <c r="AO172" s="43">
        <f t="shared" si="173"/>
        <v>42339</v>
      </c>
      <c r="AP172" s="11">
        <f>AP$5+SUM(AS$5:AS171)-SUM(X$5:X172)+SUM(W$5:W172)</f>
        <v>135196.25527529418</v>
      </c>
      <c r="AQ172" s="10">
        <f t="shared" si="182"/>
        <v>-51.82523118886277</v>
      </c>
      <c r="AR172" s="10">
        <f>IF(AB172=1,IF(Q172="tak",AQ172,PMT(M172/12,P172+1-SUM(AB$5:AB172),AP172)),0)</f>
        <v>-546.4281540001458</v>
      </c>
      <c r="AS172" s="10">
        <f t="shared" si="183"/>
        <v>-494.60292281128307</v>
      </c>
      <c r="AT172" s="10">
        <f t="shared" si="184"/>
        <v>-2164.5658464407775</v>
      </c>
      <c r="AV172" s="11">
        <f>AV$5+SUM(AX$5:AX171)+SUM(W$5:W171)-SUM(X$5:X171)</f>
        <v>126914.96719148572</v>
      </c>
      <c r="AW172" s="11">
        <f t="shared" si="185"/>
        <v>-51.82523118886277</v>
      </c>
      <c r="AX172" s="11">
        <f t="shared" si="186"/>
        <v>-490.02</v>
      </c>
      <c r="AY172" s="11">
        <f t="shared" si="133"/>
        <v>-541.8452311888627</v>
      </c>
      <c r="AZ172" s="11">
        <f t="shared" si="174"/>
        <v>-2146.411514308442</v>
      </c>
      <c r="BB172" s="191">
        <f t="shared" si="144"/>
        <v>0.0172</v>
      </c>
      <c r="BC172" s="44">
        <f>BB172+Podsumowanie!$E$6</f>
        <v>0.0292</v>
      </c>
      <c r="BD172" s="11">
        <f>BD$5+SUM(BE$5:BE171)+SUM(R$5:R171)-SUM(S$5:S171)</f>
        <v>340798.92343160225</v>
      </c>
      <c r="BE172" s="10">
        <f t="shared" si="135"/>
        <v>-941.10088314198</v>
      </c>
      <c r="BF172" s="10">
        <f t="shared" si="187"/>
        <v>-829.2773803502322</v>
      </c>
      <c r="BG172" s="10">
        <f>IF(U172&lt;0,PMT(BC172/12,Podsumowanie!E$8-SUM(AB$5:AB172)+1,BD172),0)</f>
        <v>-1770.3782634922122</v>
      </c>
      <c r="BI172" s="11">
        <f>BI$5+SUM(BK$5:BK171)+SUM(R$5:R171)-SUM(S$5:S171)</f>
        <v>288579.38718662935</v>
      </c>
      <c r="BJ172" s="11">
        <f t="shared" si="138"/>
        <v>-702.2098421541314</v>
      </c>
      <c r="BK172" s="11">
        <f t="shared" si="139"/>
        <v>-1114.206128133704</v>
      </c>
      <c r="BL172" s="11">
        <f t="shared" si="188"/>
        <v>-1816.4159702878353</v>
      </c>
      <c r="BN172" s="44">
        <f t="shared" si="145"/>
        <v>0.0293</v>
      </c>
      <c r="BO172" s="11">
        <f>BO$5+SUM(BP$5:BP171)+SUM(R$5:R171)-SUM(S$5:S171)+SUM(BS$5:BS171)</f>
        <v>367526.7306450539</v>
      </c>
      <c r="BP172" s="10">
        <f t="shared" si="154"/>
        <v>-1013.701702631011</v>
      </c>
      <c r="BQ172" s="10">
        <f t="shared" si="155"/>
        <v>-897.3777673250066</v>
      </c>
      <c r="BR172" s="10">
        <f>IF(U172&lt;0,PMT(BN172/12,Podsumowanie!E$8-SUM(AB$5:AB172)+1,BO172),0)</f>
        <v>-1911.0794699560176</v>
      </c>
      <c r="BS172" s="10">
        <f t="shared" si="149"/>
        <v>-387.3770473986226</v>
      </c>
      <c r="BU172" s="11">
        <f>BU$5+SUM(BW$5:BW171)+SUM(R$5:R171)-SUM(S$5:S171)+SUM(BY$5,BY171)</f>
        <v>287990.8269868739</v>
      </c>
      <c r="BV172" s="10">
        <f t="shared" si="146"/>
        <v>-703.177602559617</v>
      </c>
      <c r="BW172" s="10">
        <f t="shared" si="147"/>
        <v>-1111.933694930015</v>
      </c>
      <c r="BX172" s="10">
        <f t="shared" si="156"/>
        <v>-1815.1112974896319</v>
      </c>
      <c r="BY172" s="10">
        <f t="shared" si="157"/>
        <v>-483.3452198650084</v>
      </c>
      <c r="CA172" s="10">
        <f>CA$5+SUM(CB$5:CB171)+SUM(R$5:R171)-SUM(S$5:S171)-SUM(CC$5:CC171)</f>
        <v>346296.90422096185</v>
      </c>
      <c r="CB172" s="10">
        <f t="shared" si="150"/>
        <v>703.177602559617</v>
      </c>
      <c r="CC172" s="10">
        <f t="shared" si="151"/>
        <v>2298.4565173546403</v>
      </c>
      <c r="CD172" s="10">
        <f t="shared" si="152"/>
        <v>1595.2789147950234</v>
      </c>
      <c r="CF172" s="44">
        <f t="shared" si="148"/>
        <v>0.4744</v>
      </c>
      <c r="CG172" s="10">
        <f t="shared" si="153"/>
        <v>-1090.39</v>
      </c>
      <c r="CH172" s="4">
        <f t="shared" si="158"/>
        <v>0</v>
      </c>
    </row>
    <row r="173" spans="1:86" ht="15.75">
      <c r="A173" s="36">
        <v>2016</v>
      </c>
      <c r="B173" s="37">
        <v>42370</v>
      </c>
      <c r="C173" s="77">
        <f t="shared" si="142"/>
        <v>4.0176</v>
      </c>
      <c r="D173" s="78">
        <f>C173*(1+Podsumowanie!E$11)</f>
        <v>4.138128</v>
      </c>
      <c r="E173" s="34">
        <f t="shared" si="165"/>
        <v>-563.3279938145834</v>
      </c>
      <c r="F173" s="7">
        <f t="shared" si="166"/>
        <v>-2331.123344387954</v>
      </c>
      <c r="G173" s="7">
        <f t="shared" si="170"/>
        <v>-1242.468336565531</v>
      </c>
      <c r="H173" s="7">
        <f t="shared" si="167"/>
        <v>1088.6550078224232</v>
      </c>
      <c r="I173" s="32"/>
      <c r="J173" s="4" t="str">
        <f t="shared" si="159"/>
        <v xml:space="preserve"> </v>
      </c>
      <c r="K173" s="4">
        <f>IF(B173&lt;Podsumowanie!E$7,0,K172+1)</f>
        <v>103</v>
      </c>
      <c r="L173" s="100">
        <f t="shared" si="143"/>
        <v>-0.0074</v>
      </c>
      <c r="M173" s="38">
        <f>L173+Podsumowanie!E$6</f>
        <v>0.0046</v>
      </c>
      <c r="N173" s="101">
        <f>MAX(Podsumowanie!E$4+SUM(AA$5:AA172)-SUM(X$5:X173)+SUM(W$5:W173),0)</f>
        <v>138867.68283761124</v>
      </c>
      <c r="O173" s="102">
        <f>MAX(Podsumowanie!E$2+SUM(V$5:V172)-SUM(S$5:S173)+SUM(R$5:R173),0)</f>
        <v>306284.6171190755</v>
      </c>
      <c r="P173" s="39">
        <f t="shared" si="189"/>
        <v>360</v>
      </c>
      <c r="Q173" s="40" t="str">
        <f>IF(AND(K173&gt;0,K173&lt;=Podsumowanie!E$9),"tak","nie")</f>
        <v>nie</v>
      </c>
      <c r="R173" s="41"/>
      <c r="S173" s="42"/>
      <c r="T173" s="88">
        <f t="shared" si="175"/>
        <v>-117.40910322897894</v>
      </c>
      <c r="U173" s="89">
        <f>IF(Q173="tak",T173,IF(P173-SUM(AB$5:AB173)+1&gt;0,IF(Podsumowanie!E$7&lt;B173,IF(SUM(AB$5:AB173)-Podsumowanie!E$9+1&gt;0,PMT(M173/12,P173+1-SUM(AB$5:AB173),O173),T173),0),0))</f>
        <v>-1242.468336565531</v>
      </c>
      <c r="V173" s="89">
        <f t="shared" si="169"/>
        <v>-1125.059233336552</v>
      </c>
      <c r="W173" s="90" t="str">
        <f>IF(R173&gt;0,R173/(C173*(1-Podsumowanie!E$11))," ")</f>
        <v xml:space="preserve"> </v>
      </c>
      <c r="X173" s="90" t="str">
        <f t="shared" si="171"/>
        <v xml:space="preserve"> </v>
      </c>
      <c r="Y173" s="91">
        <f t="shared" si="164"/>
        <v>-53.23261175441764</v>
      </c>
      <c r="Z173" s="90">
        <f>IF(P173-SUM(AB$5:AB173)+1&gt;0,IF(Podsumowanie!E$7&lt;B173,IF(SUM(AB$5:AB173)-Podsumowanie!E$9+1&gt;0,PMT(M173/12,P173+1-SUM(AB$5:AB173),N173),Y173),0),0)</f>
        <v>-563.3279938145834</v>
      </c>
      <c r="AA173" s="90">
        <f t="shared" si="168"/>
        <v>-510.0953820601657</v>
      </c>
      <c r="AB173" s="8">
        <f>IF(AND(Podsumowanie!E$7&lt;B173,SUM(AB$5:AB172)&lt;P172),1," ")</f>
        <v>1</v>
      </c>
      <c r="AD173" s="10">
        <f>Podsumowanie!E$4-SUM(AF$5:AF172)+SUM(W$42:W173)-SUM(X$42:X173)</f>
        <v>130335.14813555224</v>
      </c>
      <c r="AE173" s="10">
        <f t="shared" si="176"/>
        <v>49.96</v>
      </c>
      <c r="AF173" s="10">
        <f t="shared" si="177"/>
        <v>505.17</v>
      </c>
      <c r="AG173" s="10">
        <f t="shared" si="190"/>
        <v>555.13</v>
      </c>
      <c r="AH173" s="10">
        <f t="shared" si="172"/>
        <v>2297.2</v>
      </c>
      <c r="AI173" s="10">
        <f>Podsumowanie!E$2-SUM(AK$5:AK172)+SUM(R$42:R173)-SUM(S$42:S173)</f>
        <v>287464.8899999999</v>
      </c>
      <c r="AJ173" s="10">
        <f t="shared" si="178"/>
        <v>110.19</v>
      </c>
      <c r="AK173" s="10">
        <f t="shared" si="179"/>
        <v>1114.21</v>
      </c>
      <c r="AL173" s="10">
        <f t="shared" si="180"/>
        <v>1224.4</v>
      </c>
      <c r="AM173" s="10">
        <f t="shared" si="181"/>
        <v>1072.7999999999997</v>
      </c>
      <c r="AO173" s="43">
        <f t="shared" si="173"/>
        <v>42370</v>
      </c>
      <c r="AP173" s="11">
        <f>AP$5+SUM(AS$5:AS172)-SUM(X$5:X173)+SUM(W$5:W173)</f>
        <v>134701.6523524829</v>
      </c>
      <c r="AQ173" s="10">
        <f t="shared" si="182"/>
        <v>-51.63563340178511</v>
      </c>
      <c r="AR173" s="10">
        <f>IF(AB173=1,IF(Q173="tak",AQ173,PMT(M173/12,P173+1-SUM(AB$5:AB173),AP173)),0)</f>
        <v>-546.4281540001458</v>
      </c>
      <c r="AS173" s="10">
        <f t="shared" si="183"/>
        <v>-494.7925205983607</v>
      </c>
      <c r="AT173" s="10">
        <f t="shared" si="184"/>
        <v>-2195.3297515109857</v>
      </c>
      <c r="AV173" s="11">
        <f>AV$5+SUM(AX$5:AX172)+SUM(W$5:W172)-SUM(X$5:X172)</f>
        <v>126424.94719148571</v>
      </c>
      <c r="AW173" s="11">
        <f t="shared" si="185"/>
        <v>-51.63563340178511</v>
      </c>
      <c r="AX173" s="11">
        <f t="shared" si="186"/>
        <v>-490.02</v>
      </c>
      <c r="AY173" s="11">
        <f t="shared" si="133"/>
        <v>-541.655633401785</v>
      </c>
      <c r="AZ173" s="11">
        <f t="shared" si="174"/>
        <v>-2176.1556727550114</v>
      </c>
      <c r="BB173" s="191">
        <f t="shared" si="144"/>
        <v>0.0171</v>
      </c>
      <c r="BC173" s="44">
        <f>BB173+Podsumowanie!$E$6</f>
        <v>0.0291</v>
      </c>
      <c r="BD173" s="11">
        <f>BD$5+SUM(BE$5:BE172)+SUM(R$5:R172)-SUM(S$5:S172)</f>
        <v>339857.8225484603</v>
      </c>
      <c r="BE173" s="10">
        <f t="shared" si="135"/>
        <v>-944.5089164394233</v>
      </c>
      <c r="BF173" s="10">
        <f t="shared" si="187"/>
        <v>-824.1552196800162</v>
      </c>
      <c r="BG173" s="10">
        <f>IF(U173&lt;0,PMT(BC173/12,Podsumowanie!E$8-SUM(AB$5:AB173)+1,BD173),0)</f>
        <v>-1768.6641361194395</v>
      </c>
      <c r="BI173" s="11">
        <f>BI$5+SUM(BK$5:BK172)+SUM(R$5:R172)-SUM(S$5:S172)</f>
        <v>287465.18105849565</v>
      </c>
      <c r="BJ173" s="11">
        <f t="shared" si="138"/>
        <v>-697.103064066852</v>
      </c>
      <c r="BK173" s="11">
        <f t="shared" si="139"/>
        <v>-1114.2061281337042</v>
      </c>
      <c r="BL173" s="11">
        <f t="shared" si="188"/>
        <v>-1811.309192200556</v>
      </c>
      <c r="BN173" s="44">
        <f t="shared" si="145"/>
        <v>0.0292</v>
      </c>
      <c r="BO173" s="11">
        <f>BO$5+SUM(BP$5:BP172)+SUM(R$5:R172)-SUM(S$5:S172)+SUM(BS$5:BS172)</f>
        <v>366125.6518950243</v>
      </c>
      <c r="BP173" s="10">
        <f t="shared" si="154"/>
        <v>-1016.3061833922701</v>
      </c>
      <c r="BQ173" s="10">
        <f t="shared" si="155"/>
        <v>-890.9057529445591</v>
      </c>
      <c r="BR173" s="10">
        <f>IF(U173&lt;0,PMT(BN173/12,Podsumowanie!E$8-SUM(AB$5:AB173)+1,BO173),0)</f>
        <v>-1907.2119363368292</v>
      </c>
      <c r="BS173" s="10">
        <f t="shared" si="149"/>
        <v>-423.9114080511249</v>
      </c>
      <c r="BU173" s="11">
        <f>BU$5+SUM(BW$5:BW172)+SUM(R$5:R172)-SUM(S$5:S172)+SUM(BY$5,BY172)</f>
        <v>286851.98286378477</v>
      </c>
      <c r="BV173" s="10">
        <f t="shared" si="146"/>
        <v>-698.0064916352095</v>
      </c>
      <c r="BW173" s="10">
        <f t="shared" si="147"/>
        <v>-1111.8293909449021</v>
      </c>
      <c r="BX173" s="10">
        <f t="shared" si="156"/>
        <v>-1809.8358825801115</v>
      </c>
      <c r="BY173" s="10">
        <f t="shared" si="157"/>
        <v>-521.2874618078426</v>
      </c>
      <c r="CA173" s="10">
        <f>CA$5+SUM(CB$5:CB172)+SUM(R$5:R172)-SUM(S$5:S172)-SUM(CC$5:CC172)</f>
        <v>344701.6253061669</v>
      </c>
      <c r="CB173" s="10">
        <f t="shared" si="150"/>
        <v>698.0064916352095</v>
      </c>
      <c r="CC173" s="10">
        <f t="shared" si="151"/>
        <v>2331.123344387954</v>
      </c>
      <c r="CD173" s="10">
        <f t="shared" si="152"/>
        <v>1633.1168527527448</v>
      </c>
      <c r="CF173" s="44">
        <f t="shared" si="148"/>
        <v>0.4819</v>
      </c>
      <c r="CG173" s="10">
        <f t="shared" si="153"/>
        <v>-1123.37</v>
      </c>
      <c r="CH173" s="4">
        <f t="shared" si="158"/>
        <v>0</v>
      </c>
    </row>
    <row r="174" spans="1:86" ht="15.75">
      <c r="A174" s="36"/>
      <c r="B174" s="37">
        <v>42401</v>
      </c>
      <c r="C174" s="77">
        <f t="shared" si="142"/>
        <v>3.9895</v>
      </c>
      <c r="D174" s="78">
        <f>C174*(1+Podsumowanie!E$11)</f>
        <v>4.109185</v>
      </c>
      <c r="E174" s="34">
        <f t="shared" si="165"/>
        <v>-563.3279938145834</v>
      </c>
      <c r="F174" s="7">
        <f t="shared" si="166"/>
        <v>-2314.818942262979</v>
      </c>
      <c r="G174" s="7">
        <f t="shared" si="170"/>
        <v>-1242.4683365655312</v>
      </c>
      <c r="H174" s="7">
        <f t="shared" si="167"/>
        <v>1072.3506056974477</v>
      </c>
      <c r="I174" s="32"/>
      <c r="K174" s="4">
        <f>IF(B174&lt;Podsumowanie!E$7,0,K173+1)</f>
        <v>104</v>
      </c>
      <c r="L174" s="100">
        <f t="shared" si="143"/>
        <v>-0.0074</v>
      </c>
      <c r="M174" s="38">
        <f>L174+Podsumowanie!E$6</f>
        <v>0.0046</v>
      </c>
      <c r="N174" s="101">
        <f>MAX(Podsumowanie!E$4+SUM(AA$5:AA173)-SUM(X$5:X174)+SUM(W$5:W174),0)</f>
        <v>138357.58745555108</v>
      </c>
      <c r="O174" s="102">
        <f>MAX(Podsumowanie!E$2+SUM(V$5:V173)-SUM(S$5:S174)+SUM(R$5:R174),0)</f>
        <v>305159.55788573896</v>
      </c>
      <c r="P174" s="39">
        <f t="shared" si="189"/>
        <v>360</v>
      </c>
      <c r="Q174" s="40" t="str">
        <f>IF(AND(K174&gt;0,K174&lt;=Podsumowanie!E$9),"tak","nie")</f>
        <v>nie</v>
      </c>
      <c r="R174" s="41"/>
      <c r="S174" s="42"/>
      <c r="T174" s="88">
        <f t="shared" si="175"/>
        <v>-116.9778305228666</v>
      </c>
      <c r="U174" s="89">
        <f>IF(Q174="tak",T174,IF(P174-SUM(AB$5:AB174)+1&gt;0,IF(Podsumowanie!E$7&lt;B174,IF(SUM(AB$5:AB174)-Podsumowanie!E$9+1&gt;0,PMT(M174/12,P174+1-SUM(AB$5:AB174),O174),T174),0),0))</f>
        <v>-1242.4683365655312</v>
      </c>
      <c r="V174" s="89">
        <f t="shared" si="169"/>
        <v>-1125.4905060426647</v>
      </c>
      <c r="W174" s="90" t="str">
        <f>IF(R174&gt;0,R174/(C174*(1-Podsumowanie!E$11))," ")</f>
        <v xml:space="preserve"> </v>
      </c>
      <c r="X174" s="90" t="str">
        <f t="shared" si="171"/>
        <v xml:space="preserve"> </v>
      </c>
      <c r="Y174" s="91">
        <f t="shared" si="164"/>
        <v>-53.037075191294576</v>
      </c>
      <c r="Z174" s="90">
        <f>IF(P174-SUM(AB$5:AB174)+1&gt;0,IF(Podsumowanie!E$7&lt;B174,IF(SUM(AB$5:AB174)-Podsumowanie!E$9+1&gt;0,PMT(M174/12,P174+1-SUM(AB$5:AB174),N174),Y174),0),0)</f>
        <v>-563.3279938145834</v>
      </c>
      <c r="AA174" s="90">
        <f t="shared" si="168"/>
        <v>-510.2909186232888</v>
      </c>
      <c r="AB174" s="8">
        <f>IF(AND(Podsumowanie!E$7&lt;B174,SUM(AB$5:AB173)&lt;P173),1," ")</f>
        <v>1</v>
      </c>
      <c r="AD174" s="10">
        <f>Podsumowanie!E$4-SUM(AF$5:AF173)+SUM(W$42:W174)-SUM(X$42:X174)</f>
        <v>129829.97813555226</v>
      </c>
      <c r="AE174" s="10">
        <f t="shared" si="176"/>
        <v>49.77</v>
      </c>
      <c r="AF174" s="10">
        <f t="shared" si="177"/>
        <v>505.18</v>
      </c>
      <c r="AG174" s="10">
        <f t="shared" si="190"/>
        <v>554.95</v>
      </c>
      <c r="AH174" s="10">
        <f t="shared" si="172"/>
        <v>2280.39</v>
      </c>
      <c r="AI174" s="10">
        <f>Podsumowanie!E$2-SUM(AK$5:AK173)+SUM(R$42:R174)-SUM(S$42:S174)</f>
        <v>286350.6799999999</v>
      </c>
      <c r="AJ174" s="10">
        <f t="shared" si="178"/>
        <v>109.77</v>
      </c>
      <c r="AK174" s="10">
        <f t="shared" si="179"/>
        <v>1114.2</v>
      </c>
      <c r="AL174" s="10">
        <f t="shared" si="180"/>
        <v>1223.97</v>
      </c>
      <c r="AM174" s="10">
        <f t="shared" si="181"/>
        <v>1056.4199999999998</v>
      </c>
      <c r="AO174" s="43">
        <f t="shared" si="173"/>
        <v>42401</v>
      </c>
      <c r="AP174" s="11">
        <f>AP$5+SUM(AS$5:AS173)-SUM(X$5:X174)+SUM(W$5:W174)</f>
        <v>134206.85983188453</v>
      </c>
      <c r="AQ174" s="10">
        <f t="shared" si="182"/>
        <v>-51.44596293555574</v>
      </c>
      <c r="AR174" s="10">
        <f>IF(AB174=1,IF(Q174="tak",AQ174,PMT(M174/12,P174+1-SUM(AB$5:AB174),AP174)),0)</f>
        <v>-546.4281540001458</v>
      </c>
      <c r="AS174" s="10">
        <f t="shared" si="183"/>
        <v>-494.9821910645901</v>
      </c>
      <c r="AT174" s="10">
        <f t="shared" si="184"/>
        <v>-2179.9751203835817</v>
      </c>
      <c r="AV174" s="11">
        <f>AV$5+SUM(AX$5:AX173)+SUM(W$5:W173)-SUM(X$5:X173)</f>
        <v>125934.92719148571</v>
      </c>
      <c r="AW174" s="11">
        <f t="shared" si="185"/>
        <v>-51.44596293555574</v>
      </c>
      <c r="AX174" s="11">
        <f t="shared" si="186"/>
        <v>-490.02</v>
      </c>
      <c r="AY174" s="11">
        <f t="shared" si="133"/>
        <v>-541.4659629355557</v>
      </c>
      <c r="AZ174" s="11">
        <f t="shared" si="174"/>
        <v>-2160.1784591313994</v>
      </c>
      <c r="BB174" s="191">
        <f t="shared" si="144"/>
        <v>0.0169</v>
      </c>
      <c r="BC174" s="44">
        <f>BB174+Podsumowanie!$E$6</f>
        <v>0.0289</v>
      </c>
      <c r="BD174" s="11">
        <f>BD$5+SUM(BE$5:BE173)+SUM(R$5:R173)-SUM(S$5:S173)</f>
        <v>338913.31363202084</v>
      </c>
      <c r="BE174" s="10">
        <f t="shared" si="135"/>
        <v>-949.0342412816709</v>
      </c>
      <c r="BF174" s="10">
        <f t="shared" si="187"/>
        <v>-816.2162303304502</v>
      </c>
      <c r="BG174" s="10">
        <f>IF(U174&lt;0,PMT(BC174/12,Podsumowanie!E$8-SUM(AB$5:AB174)+1,BD174),0)</f>
        <v>-1765.2504716121211</v>
      </c>
      <c r="BI174" s="11">
        <f>BI$5+SUM(BK$5:BK173)+SUM(R$5:R173)-SUM(S$5:S173)</f>
        <v>286350.9749303619</v>
      </c>
      <c r="BJ174" s="11">
        <f t="shared" si="138"/>
        <v>-689.6285979572882</v>
      </c>
      <c r="BK174" s="11">
        <f t="shared" si="139"/>
        <v>-1114.206128133704</v>
      </c>
      <c r="BL174" s="11">
        <f t="shared" si="188"/>
        <v>-1803.8347260909923</v>
      </c>
      <c r="BN174" s="44">
        <f t="shared" si="145"/>
        <v>0.028999999999999998</v>
      </c>
      <c r="BO174" s="11">
        <f>BO$5+SUM(BP$5:BP173)+SUM(R$5:R173)-SUM(S$5:S173)+SUM(BS$5:BS173)</f>
        <v>364685.43430358084</v>
      </c>
      <c r="BP174" s="10">
        <f t="shared" si="154"/>
        <v>-1019.9990900373638</v>
      </c>
      <c r="BQ174" s="10">
        <f t="shared" si="155"/>
        <v>-881.3231329003203</v>
      </c>
      <c r="BR174" s="10">
        <f>IF(U174&lt;0,PMT(BN174/12,Podsumowanie!E$8-SUM(AB$5:AB174)+1,BO174),0)</f>
        <v>-1901.322222937684</v>
      </c>
      <c r="BS174" s="10">
        <f t="shared" si="149"/>
        <v>-413.49671932529486</v>
      </c>
      <c r="BU174" s="11">
        <f>BU$5+SUM(BW$5:BW173)+SUM(R$5:R173)-SUM(S$5:S173)+SUM(BY$5,BY173)</f>
        <v>285702.21123089705</v>
      </c>
      <c r="BV174" s="10">
        <f t="shared" si="146"/>
        <v>-690.4470104746679</v>
      </c>
      <c r="BW174" s="10">
        <f t="shared" si="147"/>
        <v>-1111.6817557622453</v>
      </c>
      <c r="BX174" s="10">
        <f t="shared" si="156"/>
        <v>-1802.1287662369132</v>
      </c>
      <c r="BY174" s="10">
        <f t="shared" si="157"/>
        <v>-512.6901760260657</v>
      </c>
      <c r="CA174" s="10">
        <f>CA$5+SUM(CB$5:CB173)+SUM(R$5:R173)-SUM(S$5:S173)-SUM(CC$5:CC173)</f>
        <v>343068.5084534141</v>
      </c>
      <c r="CB174" s="10">
        <f t="shared" si="150"/>
        <v>690.4470104746679</v>
      </c>
      <c r="CC174" s="10">
        <f t="shared" si="151"/>
        <v>2314.818942262979</v>
      </c>
      <c r="CD174" s="10">
        <f t="shared" si="152"/>
        <v>1624.371931788311</v>
      </c>
      <c r="CF174" s="44">
        <f t="shared" si="148"/>
        <v>0.4833</v>
      </c>
      <c r="CG174" s="10">
        <f t="shared" si="153"/>
        <v>-1118.75</v>
      </c>
      <c r="CH174" s="4">
        <f t="shared" si="158"/>
        <v>0</v>
      </c>
    </row>
    <row r="175" spans="1:86" ht="15.75">
      <c r="A175" s="36"/>
      <c r="B175" s="37">
        <v>42430</v>
      </c>
      <c r="C175" s="77">
        <f t="shared" si="142"/>
        <v>3.9311</v>
      </c>
      <c r="D175" s="78">
        <f>C175*(1+Podsumowanie!E$11)</f>
        <v>4.049033</v>
      </c>
      <c r="E175" s="34">
        <f t="shared" si="165"/>
        <v>-563.3279938145834</v>
      </c>
      <c r="F175" s="7">
        <f t="shared" si="166"/>
        <v>-2280.933636779044</v>
      </c>
      <c r="G175" s="7">
        <f t="shared" si="170"/>
        <v>-1242.468336565531</v>
      </c>
      <c r="H175" s="7">
        <f t="shared" si="167"/>
        <v>1038.4653002135128</v>
      </c>
      <c r="I175" s="32"/>
      <c r="K175" s="4">
        <f>IF(B175&lt;Podsumowanie!E$7,0,K174+1)</f>
        <v>105</v>
      </c>
      <c r="L175" s="100">
        <f t="shared" si="143"/>
        <v>-0.0074</v>
      </c>
      <c r="M175" s="38">
        <f>L175+Podsumowanie!E$6</f>
        <v>0.0046</v>
      </c>
      <c r="N175" s="101">
        <f>MAX(Podsumowanie!E$4+SUM(AA$5:AA174)-SUM(X$5:X175)+SUM(W$5:W175),0)</f>
        <v>137847.29653692778</v>
      </c>
      <c r="O175" s="102">
        <f>MAX(Podsumowanie!E$2+SUM(V$5:V174)-SUM(S$5:S175)+SUM(R$5:R175),0)</f>
        <v>304034.0673796963</v>
      </c>
      <c r="P175" s="39">
        <f t="shared" si="189"/>
        <v>360</v>
      </c>
      <c r="Q175" s="40" t="str">
        <f>IF(AND(K175&gt;0,K175&lt;=Podsumowanie!E$9),"tak","nie")</f>
        <v>nie</v>
      </c>
      <c r="R175" s="41"/>
      <c r="S175" s="42"/>
      <c r="T175" s="88">
        <f t="shared" si="175"/>
        <v>-116.54639249555025</v>
      </c>
      <c r="U175" s="89">
        <f>IF(Q175="tak",T175,IF(P175-SUM(AB$5:AB175)+1&gt;0,IF(Podsumowanie!E$7&lt;B175,IF(SUM(AB$5:AB175)-Podsumowanie!E$9+1&gt;0,PMT(M175/12,P175+1-SUM(AB$5:AB175),O175),T175),0),0))</f>
        <v>-1242.468336565531</v>
      </c>
      <c r="V175" s="89">
        <f t="shared" si="169"/>
        <v>-1125.9219440699808</v>
      </c>
      <c r="W175" s="90" t="str">
        <f>IF(R175&gt;0,R175/(C175*(1-Podsumowanie!E$11))," ")</f>
        <v xml:space="preserve"> </v>
      </c>
      <c r="X175" s="90" t="str">
        <f t="shared" si="171"/>
        <v xml:space="preserve"> </v>
      </c>
      <c r="Y175" s="91">
        <f t="shared" si="164"/>
        <v>-52.84146367248898</v>
      </c>
      <c r="Z175" s="90">
        <f>IF(P175-SUM(AB$5:AB175)+1&gt;0,IF(Podsumowanie!E$7&lt;B175,IF(SUM(AB$5:AB175)-Podsumowanie!E$9+1&gt;0,PMT(M175/12,P175+1-SUM(AB$5:AB175),N175),Y175),0),0)</f>
        <v>-563.3279938145834</v>
      </c>
      <c r="AA175" s="90">
        <f t="shared" si="168"/>
        <v>-510.48653014209435</v>
      </c>
      <c r="AB175" s="8">
        <f>IF(AND(Podsumowanie!E$7&lt;B175,SUM(AB$5:AB174)&lt;P174),1," ")</f>
        <v>1</v>
      </c>
      <c r="AD175" s="10">
        <f>Podsumowanie!E$4-SUM(AF$5:AF174)+SUM(W$42:W175)-SUM(X$42:X175)</f>
        <v>129324.79813555225</v>
      </c>
      <c r="AE175" s="10">
        <f t="shared" si="176"/>
        <v>49.57</v>
      </c>
      <c r="AF175" s="10">
        <f t="shared" si="177"/>
        <v>505.17</v>
      </c>
      <c r="AG175" s="10">
        <f t="shared" si="190"/>
        <v>554.74</v>
      </c>
      <c r="AH175" s="10">
        <f t="shared" si="172"/>
        <v>2246.16</v>
      </c>
      <c r="AI175" s="10">
        <f>Podsumowanie!E$2-SUM(AK$5:AK174)+SUM(R$42:R175)-SUM(S$42:S175)</f>
        <v>285236.47999999986</v>
      </c>
      <c r="AJ175" s="10">
        <f t="shared" si="178"/>
        <v>109.34</v>
      </c>
      <c r="AK175" s="10">
        <f t="shared" si="179"/>
        <v>1114.21</v>
      </c>
      <c r="AL175" s="10">
        <f t="shared" si="180"/>
        <v>1223.55</v>
      </c>
      <c r="AM175" s="10">
        <f t="shared" si="181"/>
        <v>1022.6099999999999</v>
      </c>
      <c r="AO175" s="43">
        <f t="shared" si="173"/>
        <v>42430</v>
      </c>
      <c r="AP175" s="11">
        <f>AP$5+SUM(AS$5:AS174)-SUM(X$5:X175)+SUM(W$5:W175)</f>
        <v>133711.87764081993</v>
      </c>
      <c r="AQ175" s="10">
        <f t="shared" si="182"/>
        <v>-51.25621976231431</v>
      </c>
      <c r="AR175" s="10">
        <f>IF(AB175=1,IF(Q175="tak",AQ175,PMT(M175/12,P175+1-SUM(AB$5:AB175),AP175)),0)</f>
        <v>-546.4281540001458</v>
      </c>
      <c r="AS175" s="10">
        <f t="shared" si="183"/>
        <v>-495.1719342378315</v>
      </c>
      <c r="AT175" s="10">
        <f t="shared" si="184"/>
        <v>-2148.063716189973</v>
      </c>
      <c r="AV175" s="11">
        <f>AV$5+SUM(AX$5:AX174)+SUM(W$5:W174)-SUM(X$5:X174)</f>
        <v>125444.90719148572</v>
      </c>
      <c r="AW175" s="11">
        <f t="shared" si="185"/>
        <v>-51.25621976231431</v>
      </c>
      <c r="AX175" s="11">
        <f t="shared" si="186"/>
        <v>-490.02</v>
      </c>
      <c r="AY175" s="11">
        <f t="shared" si="133"/>
        <v>-541.2762197623143</v>
      </c>
      <c r="AZ175" s="11">
        <f t="shared" si="174"/>
        <v>-2127.810947507634</v>
      </c>
      <c r="BB175" s="191">
        <f t="shared" si="144"/>
        <v>0.0167</v>
      </c>
      <c r="BC175" s="44">
        <f>BB175+Podsumowanie!$E$6</f>
        <v>0.0287</v>
      </c>
      <c r="BD175" s="11">
        <f>BD$5+SUM(BE$5:BE174)+SUM(R$5:R174)-SUM(S$5:S174)</f>
        <v>337964.27939073916</v>
      </c>
      <c r="BE175" s="10">
        <f t="shared" si="135"/>
        <v>-953.5544582170027</v>
      </c>
      <c r="BF175" s="10">
        <f t="shared" si="187"/>
        <v>-808.2979015428513</v>
      </c>
      <c r="BG175" s="10">
        <f>IF(U175&lt;0,PMT(BC175/12,Podsumowanie!E$8-SUM(AB$5:AB175)+1,BD175),0)</f>
        <v>-1761.852359759854</v>
      </c>
      <c r="BI175" s="11">
        <f>BI$5+SUM(BK$5:BK174)+SUM(R$5:R174)-SUM(S$5:S174)</f>
        <v>285236.7688022282</v>
      </c>
      <c r="BJ175" s="11">
        <f t="shared" si="138"/>
        <v>-682.1912720519957</v>
      </c>
      <c r="BK175" s="11">
        <f t="shared" si="139"/>
        <v>-1114.206128133704</v>
      </c>
      <c r="BL175" s="11">
        <f t="shared" si="188"/>
        <v>-1796.3974001856996</v>
      </c>
      <c r="BN175" s="44">
        <f t="shared" si="145"/>
        <v>0.0288</v>
      </c>
      <c r="BO175" s="11">
        <f>BO$5+SUM(BP$5:BP174)+SUM(R$5:R174)-SUM(S$5:S174)+SUM(BS$5:BS174)</f>
        <v>363251.9384942183</v>
      </c>
      <c r="BP175" s="10">
        <f t="shared" si="154"/>
        <v>-1023.7012761111215</v>
      </c>
      <c r="BQ175" s="10">
        <f t="shared" si="155"/>
        <v>-871.8046523861238</v>
      </c>
      <c r="BR175" s="10">
        <f>IF(U175&lt;0,PMT(BN175/12,Podsumowanie!E$8-SUM(AB$5:AB175)+1,BO175),0)</f>
        <v>-1895.5059284972453</v>
      </c>
      <c r="BS175" s="10">
        <f t="shared" si="149"/>
        <v>-385.42770828179846</v>
      </c>
      <c r="BU175" s="11">
        <f>BU$5+SUM(BW$5:BW174)+SUM(R$5:R174)-SUM(S$5:S174)+SUM(BY$5,BY174)</f>
        <v>284599.12676091655</v>
      </c>
      <c r="BV175" s="10">
        <f t="shared" si="146"/>
        <v>-683.0379042261998</v>
      </c>
      <c r="BW175" s="10">
        <f t="shared" si="147"/>
        <v>-1111.7153389098303</v>
      </c>
      <c r="BX175" s="10">
        <f t="shared" si="156"/>
        <v>-1794.75324313603</v>
      </c>
      <c r="BY175" s="10">
        <f t="shared" si="157"/>
        <v>-486.18039364301376</v>
      </c>
      <c r="CA175" s="10">
        <f>CA$5+SUM(CB$5:CB174)+SUM(R$5:R174)-SUM(S$5:S174)-SUM(CC$5:CC174)</f>
        <v>341444.1365216257</v>
      </c>
      <c r="CB175" s="10">
        <f t="shared" si="150"/>
        <v>683.0379042261998</v>
      </c>
      <c r="CC175" s="10">
        <f t="shared" si="151"/>
        <v>2280.933636779044</v>
      </c>
      <c r="CD175" s="10">
        <f t="shared" si="152"/>
        <v>1597.895732552844</v>
      </c>
      <c r="CF175" s="44">
        <f t="shared" si="148"/>
        <v>0.4819</v>
      </c>
      <c r="CG175" s="10">
        <f t="shared" si="153"/>
        <v>-1099.18</v>
      </c>
      <c r="CH175" s="4">
        <f t="shared" si="158"/>
        <v>0</v>
      </c>
    </row>
    <row r="176" spans="1:86" ht="15.75">
      <c r="A176" s="36"/>
      <c r="B176" s="37">
        <v>42461</v>
      </c>
      <c r="C176" s="77">
        <f t="shared" si="142"/>
        <v>3.9311</v>
      </c>
      <c r="D176" s="78">
        <f>C176*(1+Podsumowanie!E$11)</f>
        <v>4.049033</v>
      </c>
      <c r="E176" s="34">
        <f t="shared" si="165"/>
        <v>-563.3279938145835</v>
      </c>
      <c r="F176" s="7">
        <f t="shared" si="166"/>
        <v>-2280.9336367790443</v>
      </c>
      <c r="G176" s="7">
        <f t="shared" si="170"/>
        <v>-1242.4683365655314</v>
      </c>
      <c r="H176" s="7">
        <f t="shared" si="167"/>
        <v>1038.4653002135128</v>
      </c>
      <c r="I176" s="32"/>
      <c r="K176" s="4">
        <f>IF(B176&lt;Podsumowanie!E$7,0,K175+1)</f>
        <v>106</v>
      </c>
      <c r="L176" s="100">
        <f t="shared" si="143"/>
        <v>-0.0074</v>
      </c>
      <c r="M176" s="38">
        <f>L176+Podsumowanie!E$6</f>
        <v>0.0046</v>
      </c>
      <c r="N176" s="101">
        <f>MAX(Podsumowanie!E$4+SUM(AA$5:AA175)-SUM(X$5:X176)+SUM(W$5:W176),0)</f>
        <v>137336.8100067857</v>
      </c>
      <c r="O176" s="102">
        <f>MAX(Podsumowanie!E$2+SUM(V$5:V175)-SUM(S$5:S176)+SUM(R$5:R176),0)</f>
        <v>302908.1454356263</v>
      </c>
      <c r="P176" s="39">
        <f t="shared" si="189"/>
        <v>360</v>
      </c>
      <c r="Q176" s="40" t="str">
        <f>IF(AND(K176&gt;0,K176&lt;=Podsumowanie!E$9),"tak","nie")</f>
        <v>nie</v>
      </c>
      <c r="R176" s="41"/>
      <c r="S176" s="42"/>
      <c r="T176" s="88">
        <f t="shared" si="175"/>
        <v>-116.11478908365676</v>
      </c>
      <c r="U176" s="89">
        <f>IF(Q176="tak",T176,IF(P176-SUM(AB$5:AB176)+1&gt;0,IF(Podsumowanie!E$7&lt;B176,IF(SUM(AB$5:AB176)-Podsumowanie!E$9+1&gt;0,PMT(M176/12,P176+1-SUM(AB$5:AB176),O176),T176),0),0))</f>
        <v>-1242.4683365655314</v>
      </c>
      <c r="V176" s="89">
        <f t="shared" si="169"/>
        <v>-1126.3535474818748</v>
      </c>
      <c r="W176" s="90" t="str">
        <f>IF(R176&gt;0,R176/(C176*(1-Podsumowanie!E$11))," ")</f>
        <v xml:space="preserve"> </v>
      </c>
      <c r="X176" s="90" t="str">
        <f t="shared" si="171"/>
        <v xml:space="preserve"> </v>
      </c>
      <c r="Y176" s="91">
        <f t="shared" si="164"/>
        <v>-52.64577716926785</v>
      </c>
      <c r="Z176" s="90">
        <f>IF(P176-SUM(AB$5:AB176)+1&gt;0,IF(Podsumowanie!E$7&lt;B176,IF(SUM(AB$5:AB176)-Podsumowanie!E$9+1&gt;0,PMT(M176/12,P176+1-SUM(AB$5:AB176),N176),Y176),0),0)</f>
        <v>-563.3279938145835</v>
      </c>
      <c r="AA176" s="90">
        <f t="shared" si="168"/>
        <v>-510.68221664531563</v>
      </c>
      <c r="AB176" s="8">
        <f>IF(AND(Podsumowanie!E$7&lt;B176,SUM(AB$5:AB175)&lt;P175),1," ")</f>
        <v>1</v>
      </c>
      <c r="AD176" s="10">
        <f>Podsumowanie!E$4-SUM(AF$5:AF175)+SUM(W$42:W176)-SUM(X$42:X176)</f>
        <v>128819.62813555225</v>
      </c>
      <c r="AE176" s="10">
        <f t="shared" si="176"/>
        <v>49.38</v>
      </c>
      <c r="AF176" s="10">
        <f t="shared" si="177"/>
        <v>505.18</v>
      </c>
      <c r="AG176" s="10">
        <f t="shared" si="190"/>
        <v>554.5600000000001</v>
      </c>
      <c r="AH176" s="10">
        <f t="shared" si="172"/>
        <v>2245.43</v>
      </c>
      <c r="AI176" s="10">
        <f>Podsumowanie!E$2-SUM(AK$5:AK175)+SUM(R$42:R176)-SUM(S$42:S176)</f>
        <v>284122.26999999984</v>
      </c>
      <c r="AJ176" s="10">
        <f t="shared" si="178"/>
        <v>108.91</v>
      </c>
      <c r="AK176" s="10">
        <f t="shared" si="179"/>
        <v>1114.2</v>
      </c>
      <c r="AL176" s="10">
        <f t="shared" si="180"/>
        <v>1223.1100000000001</v>
      </c>
      <c r="AM176" s="10">
        <f t="shared" si="181"/>
        <v>1022.3199999999997</v>
      </c>
      <c r="AO176" s="43">
        <f t="shared" si="173"/>
        <v>42461</v>
      </c>
      <c r="AP176" s="11">
        <f>AP$5+SUM(AS$5:AS175)-SUM(X$5:X176)+SUM(W$5:W176)</f>
        <v>133216.7057065821</v>
      </c>
      <c r="AQ176" s="10">
        <f t="shared" si="182"/>
        <v>-51.06640385418981</v>
      </c>
      <c r="AR176" s="10">
        <f>IF(AB176=1,IF(Q176="tak",AQ176,PMT(M176/12,P176+1-SUM(AB$5:AB176),AP176)),0)</f>
        <v>-546.4281540001458</v>
      </c>
      <c r="AS176" s="10">
        <f t="shared" si="183"/>
        <v>-495.361750145956</v>
      </c>
      <c r="AT176" s="10">
        <f t="shared" si="184"/>
        <v>-2148.063716189973</v>
      </c>
      <c r="AV176" s="11">
        <f>AV$5+SUM(AX$5:AX175)+SUM(W$5:W175)-SUM(X$5:X175)</f>
        <v>124954.88719148573</v>
      </c>
      <c r="AW176" s="11">
        <f t="shared" si="185"/>
        <v>-51.06640385418981</v>
      </c>
      <c r="AX176" s="11">
        <f t="shared" si="186"/>
        <v>-490.02</v>
      </c>
      <c r="AY176" s="11">
        <f aca="true" t="shared" si="191" ref="AY176:AY181">AX176+AW176</f>
        <v>-541.0864038541898</v>
      </c>
      <c r="AZ176" s="11">
        <f t="shared" si="174"/>
        <v>-2127.0647621912053</v>
      </c>
      <c r="BB176" s="191">
        <f t="shared" si="144"/>
        <v>0.0167</v>
      </c>
      <c r="BC176" s="44">
        <f>BB176+Podsumowanie!$E$6</f>
        <v>0.0287</v>
      </c>
      <c r="BD176" s="11">
        <f>BD$5+SUM(BE$5:BE175)+SUM(R$5:R175)-SUM(S$5:S175)</f>
        <v>337010.72493252216</v>
      </c>
      <c r="BE176" s="10">
        <f t="shared" si="135"/>
        <v>-955.8350426295715</v>
      </c>
      <c r="BF176" s="10">
        <f t="shared" si="187"/>
        <v>-806.0173171302822</v>
      </c>
      <c r="BG176" s="10">
        <f>IF(U176&lt;0,PMT(BC176/12,Podsumowanie!E$8-SUM(AB$5:AB176)+1,BD176),0)</f>
        <v>-1761.8523597598537</v>
      </c>
      <c r="BI176" s="11">
        <f>BI$5+SUM(BK$5:BK175)+SUM(R$5:R175)-SUM(S$5:S175)</f>
        <v>284122.5626740945</v>
      </c>
      <c r="BJ176" s="11">
        <f t="shared" si="138"/>
        <v>-679.5264623955427</v>
      </c>
      <c r="BK176" s="11">
        <f t="shared" si="139"/>
        <v>-1114.206128133704</v>
      </c>
      <c r="BL176" s="11">
        <f t="shared" si="188"/>
        <v>-1793.7325905292466</v>
      </c>
      <c r="BN176" s="44">
        <f t="shared" si="145"/>
        <v>0.0288</v>
      </c>
      <c r="BO176" s="11">
        <f>BO$5+SUM(BP$5:BP175)+SUM(R$5:R175)-SUM(S$5:S175)+SUM(BS$5:BS175)</f>
        <v>361842.80950982525</v>
      </c>
      <c r="BP176" s="10">
        <f t="shared" si="154"/>
        <v>-1025.0662791186537</v>
      </c>
      <c r="BQ176" s="10">
        <f t="shared" si="155"/>
        <v>-868.4227428235805</v>
      </c>
      <c r="BR176" s="10">
        <f>IF(U176&lt;0,PMT(BN176/12,Podsumowanie!E$8-SUM(AB$5:AB176)+1,BO176),0)</f>
        <v>-1893.4890219422343</v>
      </c>
      <c r="BS176" s="10">
        <f t="shared" si="149"/>
        <v>-387.44461483680993</v>
      </c>
      <c r="BU176" s="11">
        <f>BU$5+SUM(BW$5:BW175)+SUM(R$5:R175)-SUM(S$5:S175)+SUM(BY$5,BY175)</f>
        <v>283513.92120438983</v>
      </c>
      <c r="BV176" s="10">
        <f t="shared" si="146"/>
        <v>-680.4334108905356</v>
      </c>
      <c r="BW176" s="10">
        <f t="shared" si="147"/>
        <v>-1111.8192988407445</v>
      </c>
      <c r="BX176" s="10">
        <f t="shared" si="156"/>
        <v>-1792.25270973128</v>
      </c>
      <c r="BY176" s="10">
        <f t="shared" si="157"/>
        <v>-488.68092704776427</v>
      </c>
      <c r="CA176" s="10">
        <f>CA$5+SUM(CB$5:CB175)+SUM(R$5:R175)-SUM(S$5:S175)-SUM(CC$5:CC175)</f>
        <v>339846.2407890729</v>
      </c>
      <c r="CB176" s="10">
        <f t="shared" si="150"/>
        <v>680.4334108905356</v>
      </c>
      <c r="CC176" s="10">
        <f t="shared" si="151"/>
        <v>2280.9336367790443</v>
      </c>
      <c r="CD176" s="10">
        <f t="shared" si="152"/>
        <v>1600.5002258885088</v>
      </c>
      <c r="CF176" s="44">
        <f t="shared" si="148"/>
        <v>0.4774</v>
      </c>
      <c r="CG176" s="10">
        <f t="shared" si="153"/>
        <v>-1088.92</v>
      </c>
      <c r="CH176" s="4">
        <f t="shared" si="158"/>
        <v>0</v>
      </c>
    </row>
    <row r="177" spans="1:86" ht="15.75">
      <c r="A177" s="36"/>
      <c r="B177" s="37">
        <v>42491</v>
      </c>
      <c r="C177" s="77">
        <f t="shared" si="142"/>
        <v>3.9874</v>
      </c>
      <c r="D177" s="78">
        <f>C177*(1+Podsumowanie!E$11)</f>
        <v>4.107022</v>
      </c>
      <c r="E177" s="34">
        <f aca="true" t="shared" si="192" ref="E177:E185">Z177</f>
        <v>-563.3279938145836</v>
      </c>
      <c r="F177" s="7">
        <f aca="true" t="shared" si="193" ref="F177:F185">E177*D177</f>
        <v>-2313.6004638123586</v>
      </c>
      <c r="G177" s="7">
        <f aca="true" t="shared" si="194" ref="G177:G185">U177</f>
        <v>-1242.4683365655317</v>
      </c>
      <c r="H177" s="7">
        <f aca="true" t="shared" si="195" ref="H177:H185">G177-F177</f>
        <v>1071.132127246827</v>
      </c>
      <c r="I177" s="32"/>
      <c r="K177" s="4">
        <f>IF(B177&lt;Podsumowanie!E$7,0,K176+1)</f>
        <v>107</v>
      </c>
      <c r="L177" s="100">
        <f t="shared" si="143"/>
        <v>-0.0074</v>
      </c>
      <c r="M177" s="38">
        <f>L177+Podsumowanie!E$6</f>
        <v>0.0046</v>
      </c>
      <c r="N177" s="101">
        <f>MAX(Podsumowanie!E$4+SUM(AA$5:AA176)-SUM(X$5:X177)+SUM(W$5:W177),0)</f>
        <v>136826.1277901404</v>
      </c>
      <c r="O177" s="102">
        <f>MAX(Podsumowanie!E$2+SUM(V$5:V176)-SUM(S$5:S177)+SUM(R$5:R177),0)</f>
        <v>301781.79188814445</v>
      </c>
      <c r="P177" s="39">
        <f t="shared" si="189"/>
        <v>360</v>
      </c>
      <c r="Q177" s="40" t="str">
        <f>IF(AND(K177&gt;0,K177&lt;=Podsumowanie!E$9),"tak","nie")</f>
        <v>nie</v>
      </c>
      <c r="R177" s="41"/>
      <c r="S177" s="42"/>
      <c r="T177" s="88">
        <f t="shared" si="175"/>
        <v>-115.68302022378872</v>
      </c>
      <c r="U177" s="89">
        <f>IF(Q177="tak",T177,IF(P177-SUM(AB$5:AB177)+1&gt;0,IF(Podsumowanie!E$7&lt;B177,IF(SUM(AB$5:AB177)-Podsumowanie!E$9+1&gt;0,PMT(M177/12,P177+1-SUM(AB$5:AB177),O177),T177),0),0))</f>
        <v>-1242.4683365655317</v>
      </c>
      <c r="V177" s="89">
        <f aca="true" t="shared" si="196" ref="V177:V185">U177-T177</f>
        <v>-1126.785316341743</v>
      </c>
      <c r="W177" s="90" t="str">
        <f>IF(R177&gt;0,R177/(C177*(1-Podsumowanie!E$11))," ")</f>
        <v xml:space="preserve"> </v>
      </c>
      <c r="X177" s="90" t="str">
        <f t="shared" si="171"/>
        <v xml:space="preserve"> </v>
      </c>
      <c r="Y177" s="91">
        <f t="shared" si="164"/>
        <v>-52.45001565288715</v>
      </c>
      <c r="Z177" s="90">
        <f>IF(P177-SUM(AB$5:AB177)+1&gt;0,IF(Podsumowanie!E$7&lt;B177,IF(SUM(AB$5:AB177)-Podsumowanie!E$9+1&gt;0,PMT(M177/12,P177+1-SUM(AB$5:AB177),N177),Y177),0),0)</f>
        <v>-563.3279938145836</v>
      </c>
      <c r="AA177" s="90">
        <f aca="true" t="shared" si="197" ref="AA177:AA185">Z177-Y177</f>
        <v>-510.87797816169643</v>
      </c>
      <c r="AB177" s="8">
        <f>IF(AND(Podsumowanie!E$7&lt;B177,SUM(AB$5:AB176)&lt;P176),1," ")</f>
        <v>1</v>
      </c>
      <c r="AD177" s="10">
        <f>Podsumowanie!E$4-SUM(AF$5:AF176)+SUM(W$42:W177)-SUM(X$42:X177)</f>
        <v>128314.44813555226</v>
      </c>
      <c r="AE177" s="10">
        <f t="shared" si="176"/>
        <v>49.19</v>
      </c>
      <c r="AF177" s="10">
        <f t="shared" si="177"/>
        <v>505.17</v>
      </c>
      <c r="AG177" s="10">
        <f aca="true" t="shared" si="198" ref="AG177:AG185">AF177+AE177</f>
        <v>554.36</v>
      </c>
      <c r="AH177" s="10">
        <f t="shared" si="172"/>
        <v>2276.77</v>
      </c>
      <c r="AI177" s="10">
        <f>Podsumowanie!E$2-SUM(AK$5:AK176)+SUM(R$42:R177)-SUM(S$42:S177)</f>
        <v>283008.06999999983</v>
      </c>
      <c r="AJ177" s="10">
        <f t="shared" si="178"/>
        <v>108.49</v>
      </c>
      <c r="AK177" s="10">
        <f t="shared" si="179"/>
        <v>1114.21</v>
      </c>
      <c r="AL177" s="10">
        <f aca="true" t="shared" si="199" ref="AL177:AL185">AK177+AJ177</f>
        <v>1222.7</v>
      </c>
      <c r="AM177" s="10">
        <f aca="true" t="shared" si="200" ref="AM177:AM185">AH177-AL177</f>
        <v>1054.07</v>
      </c>
      <c r="AO177" s="43">
        <f t="shared" si="173"/>
        <v>42491</v>
      </c>
      <c r="AP177" s="11">
        <f>AP$5+SUM(AS$5:AS176)-SUM(X$5:X177)+SUM(W$5:W177)</f>
        <v>132721.34395643615</v>
      </c>
      <c r="AQ177" s="10">
        <f t="shared" si="182"/>
        <v>-50.87651518330052</v>
      </c>
      <c r="AR177" s="10">
        <f>IF(AB177=1,IF(Q177="tak",AQ177,PMT(M177/12,P177+1-SUM(AB$5:AB177),AP177)),0)</f>
        <v>-546.4281540001459</v>
      </c>
      <c r="AS177" s="10">
        <f t="shared" si="183"/>
        <v>-495.5516388168454</v>
      </c>
      <c r="AT177" s="10">
        <f t="shared" si="184"/>
        <v>-2178.827621260182</v>
      </c>
      <c r="AV177" s="11">
        <f>AV$5+SUM(AX$5:AX176)+SUM(W$5:W176)-SUM(X$5:X176)</f>
        <v>124464.86719148573</v>
      </c>
      <c r="AW177" s="11">
        <f t="shared" si="185"/>
        <v>-50.87651518330052</v>
      </c>
      <c r="AX177" s="11">
        <f t="shared" si="186"/>
        <v>-490.02</v>
      </c>
      <c r="AY177" s="11">
        <f t="shared" si="191"/>
        <v>-540.8965151833005</v>
      </c>
      <c r="AZ177" s="11">
        <f t="shared" si="174"/>
        <v>-2156.7707646418926</v>
      </c>
      <c r="BB177" s="191">
        <f t="shared" si="144"/>
        <v>0.0167</v>
      </c>
      <c r="BC177" s="44">
        <f>BB177+Podsumowanie!$E$6</f>
        <v>0.0287</v>
      </c>
      <c r="BD177" s="11">
        <f>BD$5+SUM(BE$5:BE176)+SUM(R$5:R176)-SUM(S$5:S176)</f>
        <v>336054.8898898926</v>
      </c>
      <c r="BE177" s="10">
        <f aca="true" t="shared" si="201" ref="BE177:BE185">IF(BG177&lt;0,BG177-BF177,0)</f>
        <v>-958.1210814398607</v>
      </c>
      <c r="BF177" s="10">
        <f aca="true" t="shared" si="202" ref="BF177:BF185">IF(BG177&lt;0,-BD177*BC177/12,0)</f>
        <v>-803.7312783199932</v>
      </c>
      <c r="BG177" s="10">
        <f>IF(U177&lt;0,PMT(BC177/12,Podsumowanie!E$8-SUM(AB$5:AB177)+1,BD177),0)</f>
        <v>-1761.852359759854</v>
      </c>
      <c r="BI177" s="11">
        <f>BI$5+SUM(BK$5:BK176)+SUM(R$5:R176)-SUM(S$5:S176)</f>
        <v>283008.35654596076</v>
      </c>
      <c r="BJ177" s="11">
        <f t="shared" si="138"/>
        <v>-676.8616527390894</v>
      </c>
      <c r="BK177" s="11">
        <f t="shared" si="139"/>
        <v>-1114.2061281337037</v>
      </c>
      <c r="BL177" s="11">
        <f t="shared" si="188"/>
        <v>-1791.0677808727933</v>
      </c>
      <c r="BN177" s="44">
        <f t="shared" si="145"/>
        <v>0.0288</v>
      </c>
      <c r="BO177" s="11">
        <f>BO$5+SUM(BP$5:BP176)+SUM(R$5:R176)-SUM(S$5:S176)+SUM(BS$5:BS176)</f>
        <v>360430.29861586983</v>
      </c>
      <c r="BP177" s="10">
        <f t="shared" si="154"/>
        <v>-1026.4230845077745</v>
      </c>
      <c r="BQ177" s="10">
        <f t="shared" si="155"/>
        <v>-865.0327166780876</v>
      </c>
      <c r="BR177" s="10">
        <f>IF(U177&lt;0,PMT(BN177/12,Podsumowanie!E$8-SUM(AB$5:AB177)+1,BO177),0)</f>
        <v>-1891.4558011858621</v>
      </c>
      <c r="BS177" s="10">
        <f t="shared" si="149"/>
        <v>-422.1446626264965</v>
      </c>
      <c r="BU177" s="11">
        <f>BU$5+SUM(BW$5:BW176)+SUM(R$5:R176)-SUM(S$5:S176)+SUM(BY$5,BY176)</f>
        <v>282399.60137214436</v>
      </c>
      <c r="BV177" s="10">
        <f t="shared" si="146"/>
        <v>-677.7590432931464</v>
      </c>
      <c r="BW177" s="10">
        <f t="shared" si="147"/>
        <v>-1111.8094542210408</v>
      </c>
      <c r="BX177" s="10">
        <f t="shared" si="156"/>
        <v>-1789.5684975141871</v>
      </c>
      <c r="BY177" s="10">
        <f t="shared" si="157"/>
        <v>-524.0319662981715</v>
      </c>
      <c r="CA177" s="10">
        <f>CA$5+SUM(CB$5:CB176)+SUM(R$5:R176)-SUM(S$5:S176)-SUM(CC$5:CC176)</f>
        <v>338245.7405631845</v>
      </c>
      <c r="CB177" s="10">
        <f t="shared" si="150"/>
        <v>677.7590432931464</v>
      </c>
      <c r="CC177" s="10">
        <f t="shared" si="151"/>
        <v>2313.6004638123586</v>
      </c>
      <c r="CD177" s="10">
        <f t="shared" si="152"/>
        <v>1635.841420519212</v>
      </c>
      <c r="CF177" s="44">
        <f t="shared" si="148"/>
        <v>0.4759</v>
      </c>
      <c r="CG177" s="10">
        <f t="shared" si="153"/>
        <v>-1101.04</v>
      </c>
      <c r="CH177" s="4">
        <f t="shared" si="158"/>
        <v>0</v>
      </c>
    </row>
    <row r="178" spans="1:86" ht="15.75">
      <c r="A178" s="36"/>
      <c r="B178" s="37">
        <v>42522</v>
      </c>
      <c r="C178" s="77">
        <f t="shared" si="142"/>
        <v>4.0374</v>
      </c>
      <c r="D178" s="78">
        <f>C178*(1+Podsumowanie!E$11)</f>
        <v>4.158522</v>
      </c>
      <c r="E178" s="34">
        <f t="shared" si="192"/>
        <v>-563.3279938145834</v>
      </c>
      <c r="F178" s="7">
        <f t="shared" si="193"/>
        <v>-2342.6118554938084</v>
      </c>
      <c r="G178" s="7">
        <f t="shared" si="194"/>
        <v>-1242.4683365655312</v>
      </c>
      <c r="H178" s="7">
        <f t="shared" si="195"/>
        <v>1100.1435189282772</v>
      </c>
      <c r="I178" s="32"/>
      <c r="K178" s="4">
        <f>IF(B178&lt;Podsumowanie!E$7,0,K177+1)</f>
        <v>108</v>
      </c>
      <c r="L178" s="100">
        <f t="shared" si="143"/>
        <v>-0.0074</v>
      </c>
      <c r="M178" s="38">
        <f>L178+Podsumowanie!E$6</f>
        <v>0.0046</v>
      </c>
      <c r="N178" s="101">
        <f>MAX(Podsumowanie!E$4+SUM(AA$5:AA177)-SUM(X$5:X178)+SUM(W$5:W178),0)</f>
        <v>136315.2498119787</v>
      </c>
      <c r="O178" s="102">
        <f>MAX(Podsumowanie!E$2+SUM(V$5:V177)-SUM(S$5:S178)+SUM(R$5:R178),0)</f>
        <v>300655.0065718027</v>
      </c>
      <c r="P178" s="39">
        <f t="shared" si="189"/>
        <v>360</v>
      </c>
      <c r="Q178" s="40" t="str">
        <f>IF(AND(K178&gt;0,K178&lt;=Podsumowanie!E$9),"tak","nie")</f>
        <v>nie</v>
      </c>
      <c r="R178" s="41"/>
      <c r="S178" s="42"/>
      <c r="T178" s="88">
        <f t="shared" si="175"/>
        <v>-115.25108585252438</v>
      </c>
      <c r="U178" s="89">
        <f>IF(Q178="tak",T178,IF(P178-SUM(AB$5:AB178)+1&gt;0,IF(Podsumowanie!E$7&lt;B178,IF(SUM(AB$5:AB178)-Podsumowanie!E$9+1&gt;0,PMT(M178/12,P178+1-SUM(AB$5:AB178),O178),T178),0),0))</f>
        <v>-1242.4683365655312</v>
      </c>
      <c r="V178" s="89">
        <f t="shared" si="196"/>
        <v>-1127.217250713007</v>
      </c>
      <c r="W178" s="90" t="str">
        <f>IF(R178&gt;0,R178/(C178*(1-Podsumowanie!E$11))," ")</f>
        <v xml:space="preserve"> </v>
      </c>
      <c r="X178" s="90" t="str">
        <f t="shared" si="171"/>
        <v xml:space="preserve"> </v>
      </c>
      <c r="Y178" s="91">
        <f t="shared" si="164"/>
        <v>-52.25417909459183</v>
      </c>
      <c r="Z178" s="90">
        <f>IF(P178-SUM(AB$5:AB178)+1&gt;0,IF(Podsumowanie!E$7&lt;B178,IF(SUM(AB$5:AB178)-Podsumowanie!E$9+1&gt;0,PMT(M178/12,P178+1-SUM(AB$5:AB178),N178),Y178),0),0)</f>
        <v>-563.3279938145834</v>
      </c>
      <c r="AA178" s="90">
        <f t="shared" si="197"/>
        <v>-511.0738147199915</v>
      </c>
      <c r="AB178" s="8">
        <f>IF(AND(Podsumowanie!E$7&lt;B178,SUM(AB$5:AB177)&lt;P177),1," ")</f>
        <v>1</v>
      </c>
      <c r="AD178" s="10">
        <f>Podsumowanie!E$4-SUM(AF$5:AF177)+SUM(W$42:W178)-SUM(X$42:X178)</f>
        <v>127809.27813555225</v>
      </c>
      <c r="AE178" s="10">
        <f t="shared" si="176"/>
        <v>48.99</v>
      </c>
      <c r="AF178" s="10">
        <f t="shared" si="177"/>
        <v>505.18</v>
      </c>
      <c r="AG178" s="10">
        <f t="shared" si="198"/>
        <v>554.17</v>
      </c>
      <c r="AH178" s="10">
        <f t="shared" si="172"/>
        <v>2304.53</v>
      </c>
      <c r="AI178" s="10">
        <f>Podsumowanie!E$2-SUM(AK$5:AK177)+SUM(R$42:R178)-SUM(S$42:S178)</f>
        <v>281893.85999999987</v>
      </c>
      <c r="AJ178" s="10">
        <f t="shared" si="178"/>
        <v>108.06</v>
      </c>
      <c r="AK178" s="10">
        <f t="shared" si="179"/>
        <v>1114.2</v>
      </c>
      <c r="AL178" s="10">
        <f t="shared" si="199"/>
        <v>1222.26</v>
      </c>
      <c r="AM178" s="10">
        <f t="shared" si="200"/>
        <v>1082.2700000000002</v>
      </c>
      <c r="AO178" s="43">
        <f t="shared" si="173"/>
        <v>42522</v>
      </c>
      <c r="AP178" s="11">
        <f>AP$5+SUM(AS$5:AS177)-SUM(X$5:X178)+SUM(W$5:W178)</f>
        <v>132225.79231761929</v>
      </c>
      <c r="AQ178" s="10">
        <f t="shared" si="182"/>
        <v>-50.68655372175406</v>
      </c>
      <c r="AR178" s="10">
        <f>IF(AB178=1,IF(Q178="tak",AQ178,PMT(M178/12,P178+1-SUM(AB$5:AB178),AP178)),0)</f>
        <v>-546.4281540001457</v>
      </c>
      <c r="AS178" s="10">
        <f t="shared" si="183"/>
        <v>-495.7416002783916</v>
      </c>
      <c r="AT178" s="10">
        <f t="shared" si="184"/>
        <v>-2206.1490289601884</v>
      </c>
      <c r="AV178" s="11">
        <f>AV$5+SUM(AX$5:AX177)+SUM(W$5:W177)-SUM(X$5:X177)</f>
        <v>123974.84719148572</v>
      </c>
      <c r="AW178" s="11">
        <f t="shared" si="185"/>
        <v>-50.68655372175406</v>
      </c>
      <c r="AX178" s="11">
        <f t="shared" si="186"/>
        <v>-490.02</v>
      </c>
      <c r="AY178" s="11">
        <f t="shared" si="191"/>
        <v>-540.7065537217541</v>
      </c>
      <c r="AZ178" s="11">
        <f t="shared" si="174"/>
        <v>-2183.0486399962097</v>
      </c>
      <c r="BB178" s="191">
        <f t="shared" si="144"/>
        <v>0.0169</v>
      </c>
      <c r="BC178" s="44">
        <f>BB178+Podsumowanie!$E$6</f>
        <v>0.0289</v>
      </c>
      <c r="BD178" s="11">
        <f>BD$5+SUM(BE$5:BE177)+SUM(R$5:R177)-SUM(S$5:S177)</f>
        <v>335096.76880845276</v>
      </c>
      <c r="BE178" s="10">
        <f t="shared" si="201"/>
        <v>-958.1906052965118</v>
      </c>
      <c r="BF178" s="10">
        <f t="shared" si="202"/>
        <v>-807.0247182136903</v>
      </c>
      <c r="BG178" s="10">
        <f>IF(U178&lt;0,PMT(BC178/12,Podsumowanie!E$8-SUM(AB$5:AB178)+1,BD178),0)</f>
        <v>-1765.215323510202</v>
      </c>
      <c r="BI178" s="11">
        <f>BI$5+SUM(BK$5:BK177)+SUM(R$5:R177)-SUM(S$5:S177)</f>
        <v>281894.15041782707</v>
      </c>
      <c r="BJ178" s="11">
        <f t="shared" si="138"/>
        <v>-678.8950789229335</v>
      </c>
      <c r="BK178" s="11">
        <f t="shared" si="139"/>
        <v>-1114.206128133704</v>
      </c>
      <c r="BL178" s="11">
        <f t="shared" si="188"/>
        <v>-1793.1012070566376</v>
      </c>
      <c r="BN178" s="44">
        <f t="shared" si="145"/>
        <v>0.028999999999999998</v>
      </c>
      <c r="BO178" s="11">
        <f>BO$5+SUM(BP$5:BP177)+SUM(R$5:R177)-SUM(S$5:S177)+SUM(BS$5:BS177)</f>
        <v>358981.7308687356</v>
      </c>
      <c r="BP178" s="10">
        <f t="shared" si="154"/>
        <v>-1025.2996677904575</v>
      </c>
      <c r="BQ178" s="10">
        <f t="shared" si="155"/>
        <v>-867.5391829327776</v>
      </c>
      <c r="BR178" s="10">
        <f>IF(U178&lt;0,PMT(BN178/12,Podsumowanie!E$8-SUM(AB$5:AB178)+1,BO178),0)</f>
        <v>-1892.838850723235</v>
      </c>
      <c r="BS178" s="10">
        <f t="shared" si="149"/>
        <v>-449.7730047705734</v>
      </c>
      <c r="BU178" s="11">
        <f>BU$5+SUM(BW$5:BW177)+SUM(R$5:R177)-SUM(S$5:S177)+SUM(BY$5,BY177)</f>
        <v>281252.4408786729</v>
      </c>
      <c r="BV178" s="10">
        <f t="shared" si="146"/>
        <v>-679.693398790126</v>
      </c>
      <c r="BW178" s="10">
        <f t="shared" si="147"/>
        <v>-1111.6697267931734</v>
      </c>
      <c r="BX178" s="10">
        <f t="shared" si="156"/>
        <v>-1791.3631255832993</v>
      </c>
      <c r="BY178" s="10">
        <f t="shared" si="157"/>
        <v>-551.2487299105092</v>
      </c>
      <c r="CA178" s="10">
        <f>CA$5+SUM(CB$5:CB177)+SUM(R$5:R177)-SUM(S$5:S177)-SUM(CC$5:CC177)</f>
        <v>336609.8991426652</v>
      </c>
      <c r="CB178" s="10">
        <f t="shared" si="150"/>
        <v>679.693398790126</v>
      </c>
      <c r="CC178" s="10">
        <f t="shared" si="151"/>
        <v>2342.6118554938084</v>
      </c>
      <c r="CD178" s="10">
        <f t="shared" si="152"/>
        <v>1662.9184567036823</v>
      </c>
      <c r="CF178" s="44">
        <f t="shared" si="148"/>
        <v>0.473</v>
      </c>
      <c r="CG178" s="10">
        <f t="shared" si="153"/>
        <v>-1108.06</v>
      </c>
      <c r="CH178" s="4">
        <f t="shared" si="158"/>
        <v>0</v>
      </c>
    </row>
    <row r="179" spans="1:86" ht="15.75">
      <c r="A179" s="36"/>
      <c r="B179" s="37">
        <v>42552</v>
      </c>
      <c r="C179" s="77">
        <f t="shared" si="142"/>
        <v>4.0465</v>
      </c>
      <c r="D179" s="78">
        <f>C179*(1+Podsumowanie!E$11)</f>
        <v>4.167895</v>
      </c>
      <c r="E179" s="34">
        <f t="shared" si="192"/>
        <v>-563.3279938145834</v>
      </c>
      <c r="F179" s="7">
        <f t="shared" si="193"/>
        <v>-2347.8919287798326</v>
      </c>
      <c r="G179" s="7">
        <f t="shared" si="194"/>
        <v>-1242.4683365655312</v>
      </c>
      <c r="H179" s="7">
        <f t="shared" si="195"/>
        <v>1105.4235922143014</v>
      </c>
      <c r="I179" s="32"/>
      <c r="K179" s="4">
        <f>IF(B179&lt;Podsumowanie!E$7,0,K178+1)</f>
        <v>109</v>
      </c>
      <c r="L179" s="100">
        <f t="shared" si="143"/>
        <v>-0.0074</v>
      </c>
      <c r="M179" s="38">
        <f>L179+Podsumowanie!E$6</f>
        <v>0.0046</v>
      </c>
      <c r="N179" s="101">
        <f>MAX(Podsumowanie!E$4+SUM(AA$5:AA178)-SUM(X$5:X179)+SUM(W$5:W179),0)</f>
        <v>135804.1759972587</v>
      </c>
      <c r="O179" s="102">
        <f>MAX(Podsumowanie!E$2+SUM(V$5:V178)-SUM(S$5:S179)+SUM(R$5:R179),0)</f>
        <v>299527.7893210897</v>
      </c>
      <c r="P179" s="39">
        <f t="shared" si="189"/>
        <v>360</v>
      </c>
      <c r="Q179" s="40" t="str">
        <f>IF(AND(K179&gt;0,K179&lt;=Podsumowanie!E$9),"tak","nie")</f>
        <v>nie</v>
      </c>
      <c r="R179" s="41"/>
      <c r="S179" s="42"/>
      <c r="T179" s="88">
        <f t="shared" si="175"/>
        <v>-114.81898590641771</v>
      </c>
      <c r="U179" s="89">
        <f>IF(Q179="tak",T179,IF(P179-SUM(AB$5:AB179)+1&gt;0,IF(Podsumowanie!E$7&lt;B179,IF(SUM(AB$5:AB179)-Podsumowanie!E$9+1&gt;0,PMT(M179/12,P179+1-SUM(AB$5:AB179),O179),T179),0),0))</f>
        <v>-1242.4683365655312</v>
      </c>
      <c r="V179" s="89">
        <f t="shared" si="196"/>
        <v>-1127.6493506591135</v>
      </c>
      <c r="W179" s="90" t="str">
        <f>IF(R179&gt;0,R179/(C179*(1-Podsumowanie!E$11))," ")</f>
        <v xml:space="preserve"> </v>
      </c>
      <c r="X179" s="90" t="str">
        <f t="shared" si="171"/>
        <v xml:space="preserve"> </v>
      </c>
      <c r="Y179" s="91">
        <f t="shared" si="164"/>
        <v>-52.058267465615835</v>
      </c>
      <c r="Z179" s="90">
        <f>IF(P179-SUM(AB$5:AB179)+1&gt;0,IF(Podsumowanie!E$7&lt;B179,IF(SUM(AB$5:AB179)-Podsumowanie!E$9+1&gt;0,PMT(M179/12,P179+1-SUM(AB$5:AB179),N179),Y179),0),0)</f>
        <v>-563.3279938145834</v>
      </c>
      <c r="AA179" s="90">
        <f t="shared" si="197"/>
        <v>-511.26972634896754</v>
      </c>
      <c r="AB179" s="8">
        <f>IF(AND(Podsumowanie!E$7&lt;B179,SUM(AB$5:AB178)&lt;P178),1," ")</f>
        <v>1</v>
      </c>
      <c r="AD179" s="10">
        <f>Podsumowanie!E$4-SUM(AF$5:AF178)+SUM(W$42:W179)-SUM(X$42:X179)</f>
        <v>127304.09813555225</v>
      </c>
      <c r="AE179" s="10">
        <f t="shared" si="176"/>
        <v>48.8</v>
      </c>
      <c r="AF179" s="10">
        <f t="shared" si="177"/>
        <v>505.17</v>
      </c>
      <c r="AG179" s="10">
        <f t="shared" si="198"/>
        <v>553.97</v>
      </c>
      <c r="AH179" s="10">
        <f t="shared" si="172"/>
        <v>2308.89</v>
      </c>
      <c r="AI179" s="10">
        <f>Podsumowanie!E$2-SUM(AK$5:AK178)+SUM(R$42:R179)-SUM(S$42:S179)</f>
        <v>280779.65999999986</v>
      </c>
      <c r="AJ179" s="10">
        <f t="shared" si="178"/>
        <v>107.63</v>
      </c>
      <c r="AK179" s="10">
        <f t="shared" si="179"/>
        <v>1114.21</v>
      </c>
      <c r="AL179" s="10">
        <f t="shared" si="199"/>
        <v>1221.8400000000001</v>
      </c>
      <c r="AM179" s="10">
        <f t="shared" si="200"/>
        <v>1087.0499999999997</v>
      </c>
      <c r="AO179" s="43">
        <f t="shared" si="173"/>
        <v>42552</v>
      </c>
      <c r="AP179" s="11">
        <f>AP$5+SUM(AS$5:AS178)-SUM(X$5:X179)+SUM(W$5:W179)</f>
        <v>131730.0507173409</v>
      </c>
      <c r="AQ179" s="10">
        <f t="shared" si="182"/>
        <v>-50.496519441647344</v>
      </c>
      <c r="AR179" s="10">
        <f>IF(AB179=1,IF(Q179="tak",AQ179,PMT(M179/12,P179+1-SUM(AB$5:AB179),AP179)),0)</f>
        <v>-546.4281540001458</v>
      </c>
      <c r="AS179" s="10">
        <f t="shared" si="183"/>
        <v>-495.93163455849844</v>
      </c>
      <c r="AT179" s="10">
        <f t="shared" si="184"/>
        <v>-2211.12152516159</v>
      </c>
      <c r="AV179" s="11">
        <f>AV$5+SUM(AX$5:AX178)+SUM(W$5:W178)-SUM(X$5:X178)</f>
        <v>123484.82719148573</v>
      </c>
      <c r="AW179" s="11">
        <f t="shared" si="185"/>
        <v>-50.496519441647344</v>
      </c>
      <c r="AX179" s="11">
        <f t="shared" si="186"/>
        <v>-490.02</v>
      </c>
      <c r="AY179" s="11">
        <f t="shared" si="191"/>
        <v>-540.5165194416473</v>
      </c>
      <c r="AZ179" s="11">
        <f t="shared" si="174"/>
        <v>-2187.200095920626</v>
      </c>
      <c r="BB179" s="191">
        <f t="shared" si="144"/>
        <v>0.0171</v>
      </c>
      <c r="BC179" s="44">
        <f>BB179+Podsumowanie!$E$6</f>
        <v>0.0291</v>
      </c>
      <c r="BD179" s="11">
        <f>BD$5+SUM(BE$5:BE178)+SUM(R$5:R178)-SUM(S$5:S178)</f>
        <v>334138.57820315624</v>
      </c>
      <c r="BE179" s="10">
        <f t="shared" si="201"/>
        <v>-958.2842772262121</v>
      </c>
      <c r="BF179" s="10">
        <f t="shared" si="202"/>
        <v>-810.2860521426538</v>
      </c>
      <c r="BG179" s="10">
        <f>IF(U179&lt;0,PMT(BC179/12,Podsumowanie!E$8-SUM(AB$5:AB179)+1,BD179),0)</f>
        <v>-1768.570329368866</v>
      </c>
      <c r="BI179" s="11">
        <f>BI$5+SUM(BK$5:BK178)+SUM(R$5:R178)-SUM(S$5:S178)</f>
        <v>280779.9442896934</v>
      </c>
      <c r="BJ179" s="11">
        <f t="shared" si="138"/>
        <v>-680.8913649025064</v>
      </c>
      <c r="BK179" s="11">
        <f t="shared" si="139"/>
        <v>-1114.206128133704</v>
      </c>
      <c r="BL179" s="11">
        <f t="shared" si="188"/>
        <v>-1795.0974930362104</v>
      </c>
      <c r="BN179" s="44">
        <f t="shared" si="145"/>
        <v>0.0292</v>
      </c>
      <c r="BO179" s="11">
        <f>BO$5+SUM(BP$5:BP178)+SUM(R$5:R178)-SUM(S$5:S178)+SUM(BS$5:BS178)</f>
        <v>357506.65819617454</v>
      </c>
      <c r="BP179" s="10">
        <f t="shared" si="154"/>
        <v>-1024.1192754141302</v>
      </c>
      <c r="BQ179" s="10">
        <f t="shared" si="155"/>
        <v>-869.932868277358</v>
      </c>
      <c r="BR179" s="10">
        <f>IF(U179&lt;0,PMT(BN179/12,Podsumowanie!E$8-SUM(AB$5:AB179)+1,BO179),0)</f>
        <v>-1894.0521436914883</v>
      </c>
      <c r="BS179" s="10">
        <f t="shared" si="149"/>
        <v>-453.83978508834434</v>
      </c>
      <c r="BU179" s="11">
        <f>BU$5+SUM(BW$5:BW178)+SUM(R$5:R178)-SUM(S$5:S178)+SUM(BY$5,BY178)</f>
        <v>280113.55438826734</v>
      </c>
      <c r="BV179" s="10">
        <f t="shared" si="146"/>
        <v>-681.6096490114505</v>
      </c>
      <c r="BW179" s="10">
        <f t="shared" si="147"/>
        <v>-1111.5617237629656</v>
      </c>
      <c r="BX179" s="10">
        <f t="shared" si="156"/>
        <v>-1793.171372774416</v>
      </c>
      <c r="BY179" s="10">
        <f t="shared" si="157"/>
        <v>-554.7205560054165</v>
      </c>
      <c r="CA179" s="10">
        <f>CA$5+SUM(CB$5:CB178)+SUM(R$5:R178)-SUM(S$5:S178)-SUM(CC$5:CC178)</f>
        <v>334946.98068596143</v>
      </c>
      <c r="CB179" s="10">
        <f t="shared" si="150"/>
        <v>681.6096490114505</v>
      </c>
      <c r="CC179" s="10">
        <f t="shared" si="151"/>
        <v>2347.8919287798326</v>
      </c>
      <c r="CD179" s="10">
        <f t="shared" si="152"/>
        <v>1666.282279768382</v>
      </c>
      <c r="CF179" s="44">
        <f t="shared" si="148"/>
        <v>0.4774</v>
      </c>
      <c r="CG179" s="10">
        <f t="shared" si="153"/>
        <v>-1120.88</v>
      </c>
      <c r="CH179" s="4">
        <f t="shared" si="158"/>
        <v>0</v>
      </c>
    </row>
    <row r="180" spans="1:86" ht="15.75">
      <c r="A180" s="36"/>
      <c r="B180" s="37">
        <v>42583</v>
      </c>
      <c r="C180" s="77">
        <f t="shared" si="142"/>
        <v>3.9549</v>
      </c>
      <c r="D180" s="78">
        <f>C180*(1+Podsumowanie!E$11)</f>
        <v>4.073547</v>
      </c>
      <c r="E180" s="34">
        <f t="shared" si="192"/>
        <v>-563.3279938145834</v>
      </c>
      <c r="F180" s="7">
        <f t="shared" si="193"/>
        <v>-2294.743059219414</v>
      </c>
      <c r="G180" s="7">
        <f t="shared" si="194"/>
        <v>-1242.4683365655312</v>
      </c>
      <c r="H180" s="7">
        <f t="shared" si="195"/>
        <v>1052.274722653883</v>
      </c>
      <c r="I180" s="32"/>
      <c r="K180" s="4">
        <f>IF(B180&lt;Podsumowanie!E$7,0,K179+1)</f>
        <v>110</v>
      </c>
      <c r="L180" s="100">
        <f t="shared" si="143"/>
        <v>-0.0074</v>
      </c>
      <c r="M180" s="38">
        <f>L180+Podsumowanie!E$6</f>
        <v>0.0046</v>
      </c>
      <c r="N180" s="101">
        <f>MAX(Podsumowanie!E$4+SUM(AA$5:AA179)-SUM(X$5:X180)+SUM(W$5:W180),0)</f>
        <v>135292.90627090973</v>
      </c>
      <c r="O180" s="102">
        <f>MAX(Podsumowanie!E$2+SUM(V$5:V179)-SUM(S$5:S180)+SUM(R$5:R180),0)</f>
        <v>298400.1399704306</v>
      </c>
      <c r="P180" s="39">
        <f t="shared" si="189"/>
        <v>360</v>
      </c>
      <c r="Q180" s="40" t="str">
        <f>IF(AND(K180&gt;0,K180&lt;=Podsumowanie!E$9),"tak","nie")</f>
        <v>nie</v>
      </c>
      <c r="R180" s="41"/>
      <c r="S180" s="42"/>
      <c r="T180" s="88">
        <f t="shared" si="175"/>
        <v>-114.38672032199838</v>
      </c>
      <c r="U180" s="89">
        <f>IF(Q180="tak",T180,IF(P180-SUM(AB$5:AB180)+1&gt;0,IF(Podsumowanie!E$7&lt;B180,IF(SUM(AB$5:AB180)-Podsumowanie!E$9+1&gt;0,PMT(M180/12,P180+1-SUM(AB$5:AB180),O180),T180),0),0))</f>
        <v>-1242.4683365655312</v>
      </c>
      <c r="V180" s="89">
        <f t="shared" si="196"/>
        <v>-1128.0816162435328</v>
      </c>
      <c r="W180" s="90" t="str">
        <f>IF(R180&gt;0,R180/(C180*(1-Podsumowanie!E$11))," ")</f>
        <v xml:space="preserve"> </v>
      </c>
      <c r="X180" s="90" t="str">
        <f t="shared" si="171"/>
        <v xml:space="preserve"> </v>
      </c>
      <c r="Y180" s="91">
        <f t="shared" si="164"/>
        <v>-51.86228073718206</v>
      </c>
      <c r="Z180" s="90">
        <f>IF(P180-SUM(AB$5:AB180)+1&gt;0,IF(Podsumowanie!E$7&lt;B180,IF(SUM(AB$5:AB180)-Podsumowanie!E$9+1&gt;0,PMT(M180/12,P180+1-SUM(AB$5:AB180),N180),Y180),0),0)</f>
        <v>-563.3279938145834</v>
      </c>
      <c r="AA180" s="90">
        <f t="shared" si="197"/>
        <v>-511.4657130774013</v>
      </c>
      <c r="AB180" s="8">
        <f>IF(AND(Podsumowanie!E$7&lt;B180,SUM(AB$5:AB179)&lt;P179),1," ")</f>
        <v>1</v>
      </c>
      <c r="AD180" s="10">
        <f>Podsumowanie!E$4-SUM(AF$5:AF179)+SUM(W$42:W180)-SUM(X$42:X180)</f>
        <v>126798.92813555225</v>
      </c>
      <c r="AE180" s="10">
        <f t="shared" si="176"/>
        <v>48.61</v>
      </c>
      <c r="AF180" s="10">
        <f t="shared" si="177"/>
        <v>505.18</v>
      </c>
      <c r="AG180" s="10">
        <f t="shared" si="198"/>
        <v>553.79</v>
      </c>
      <c r="AH180" s="10">
        <f t="shared" si="172"/>
        <v>2255.89</v>
      </c>
      <c r="AI180" s="10">
        <f>Podsumowanie!E$2-SUM(AK$5:AK179)+SUM(R$42:R180)-SUM(S$42:S180)</f>
        <v>279665.44999999984</v>
      </c>
      <c r="AJ180" s="10">
        <f t="shared" si="178"/>
        <v>107.21</v>
      </c>
      <c r="AK180" s="10">
        <f t="shared" si="179"/>
        <v>1114.2</v>
      </c>
      <c r="AL180" s="10">
        <f t="shared" si="199"/>
        <v>1221.41</v>
      </c>
      <c r="AM180" s="10">
        <f t="shared" si="200"/>
        <v>1034.4799999999998</v>
      </c>
      <c r="AO180" s="43">
        <f t="shared" si="173"/>
        <v>42583</v>
      </c>
      <c r="AP180" s="11">
        <f>AP$5+SUM(AS$5:AS179)-SUM(X$5:X180)+SUM(W$5:W180)</f>
        <v>131234.11908278242</v>
      </c>
      <c r="AQ180" s="10">
        <f t="shared" si="182"/>
        <v>-50.30641231506659</v>
      </c>
      <c r="AR180" s="10">
        <f>IF(AB180=1,IF(Q180="tak",AQ180,PMT(M180/12,P180+1-SUM(AB$5:AB180),AP180)),0)</f>
        <v>-546.4281540001458</v>
      </c>
      <c r="AS180" s="10">
        <f t="shared" si="183"/>
        <v>-496.1217416850792</v>
      </c>
      <c r="AT180" s="10">
        <f t="shared" si="184"/>
        <v>-2161.0687062551765</v>
      </c>
      <c r="AV180" s="11">
        <f>AV$5+SUM(AX$5:AX179)+SUM(W$5:W179)-SUM(X$5:X179)</f>
        <v>122994.80719148574</v>
      </c>
      <c r="AW180" s="11">
        <f t="shared" si="185"/>
        <v>-50.30641231506659</v>
      </c>
      <c r="AX180" s="11">
        <f t="shared" si="186"/>
        <v>-490.02</v>
      </c>
      <c r="AY180" s="11">
        <f t="shared" si="191"/>
        <v>-540.3264123150666</v>
      </c>
      <c r="AZ180" s="11">
        <f t="shared" si="174"/>
        <v>-2136.9369280648566</v>
      </c>
      <c r="BB180" s="191">
        <f t="shared" si="144"/>
        <v>0.0171</v>
      </c>
      <c r="BC180" s="44">
        <f>BB180+Podsumowanie!$E$6</f>
        <v>0.0291</v>
      </c>
      <c r="BD180" s="11">
        <f>BD$5+SUM(BE$5:BE179)+SUM(R$5:R179)-SUM(S$5:S179)</f>
        <v>333180.29392593005</v>
      </c>
      <c r="BE180" s="10">
        <f t="shared" si="201"/>
        <v>-960.6081165984855</v>
      </c>
      <c r="BF180" s="10">
        <f t="shared" si="202"/>
        <v>-807.9622127703805</v>
      </c>
      <c r="BG180" s="10">
        <f>IF(U180&lt;0,PMT(BC180/12,Podsumowanie!E$8-SUM(AB$5:AB180)+1,BD180),0)</f>
        <v>-1768.570329368866</v>
      </c>
      <c r="BI180" s="11">
        <f>BI$5+SUM(BK$5:BK179)+SUM(R$5:R179)-SUM(S$5:S179)</f>
        <v>279665.7381615597</v>
      </c>
      <c r="BJ180" s="11">
        <f t="shared" si="138"/>
        <v>-678.1894150417822</v>
      </c>
      <c r="BK180" s="11">
        <f t="shared" si="139"/>
        <v>-1114.206128133704</v>
      </c>
      <c r="BL180" s="11">
        <f t="shared" si="188"/>
        <v>-1792.3955431754862</v>
      </c>
      <c r="BN180" s="44">
        <f t="shared" si="145"/>
        <v>0.0292</v>
      </c>
      <c r="BO180" s="11">
        <f>BO$5+SUM(BP$5:BP179)+SUM(R$5:R179)-SUM(S$5:S179)+SUM(BS$5:BS179)</f>
        <v>356028.69913567207</v>
      </c>
      <c r="BP180" s="10">
        <f t="shared" si="154"/>
        <v>-1025.3043147692824</v>
      </c>
      <c r="BQ180" s="10">
        <f t="shared" si="155"/>
        <v>-866.3365012301355</v>
      </c>
      <c r="BR180" s="10">
        <f>IF(U180&lt;0,PMT(BN180/12,Podsumowanie!E$8-SUM(AB$5:AB180)+1,BO180),0)</f>
        <v>-1891.6408159994178</v>
      </c>
      <c r="BS180" s="10">
        <f t="shared" si="149"/>
        <v>-403.10224321999635</v>
      </c>
      <c r="BU180" s="11">
        <f>BU$5+SUM(BW$5:BW179)+SUM(R$5:R179)-SUM(S$5:S179)+SUM(BY$5,BY179)</f>
        <v>278998.5208384095</v>
      </c>
      <c r="BV180" s="10">
        <f t="shared" si="146"/>
        <v>-678.8964007067965</v>
      </c>
      <c r="BW180" s="10">
        <f t="shared" si="147"/>
        <v>-1111.547891786492</v>
      </c>
      <c r="BX180" s="10">
        <f t="shared" si="156"/>
        <v>-1790.4442924932887</v>
      </c>
      <c r="BY180" s="10">
        <f t="shared" si="157"/>
        <v>-504.29876672612545</v>
      </c>
      <c r="CA180" s="10">
        <f>CA$5+SUM(CB$5:CB179)+SUM(R$5:R179)-SUM(S$5:S179)-SUM(CC$5:CC179)</f>
        <v>333280.6984061932</v>
      </c>
      <c r="CB180" s="10">
        <f t="shared" si="150"/>
        <v>678.8964007067965</v>
      </c>
      <c r="CC180" s="10">
        <f t="shared" si="151"/>
        <v>2294.743059219414</v>
      </c>
      <c r="CD180" s="10">
        <f t="shared" si="152"/>
        <v>1615.8466585126175</v>
      </c>
      <c r="CF180" s="44">
        <f t="shared" si="148"/>
        <v>0.4804</v>
      </c>
      <c r="CG180" s="10">
        <f t="shared" si="153"/>
        <v>-1102.39</v>
      </c>
      <c r="CH180" s="4">
        <f t="shared" si="158"/>
        <v>0</v>
      </c>
    </row>
    <row r="181" spans="1:86" ht="15.75">
      <c r="A181" s="36"/>
      <c r="B181" s="37">
        <v>42614</v>
      </c>
      <c r="C181" s="77">
        <f t="shared" si="142"/>
        <v>3.9586</v>
      </c>
      <c r="D181" s="78">
        <f>C181*(1+Podsumowanie!E$11)</f>
        <v>4.077358</v>
      </c>
      <c r="E181" s="34">
        <f t="shared" si="192"/>
        <v>-563.3279938145835</v>
      </c>
      <c r="F181" s="7">
        <f t="shared" si="193"/>
        <v>-2296.8899022038427</v>
      </c>
      <c r="G181" s="7">
        <f t="shared" si="194"/>
        <v>-1242.4683365655312</v>
      </c>
      <c r="H181" s="7">
        <f t="shared" si="195"/>
        <v>1054.4215656383114</v>
      </c>
      <c r="I181" s="32"/>
      <c r="K181" s="4">
        <f>IF(B181&lt;Podsumowanie!E$7,0,K180+1)</f>
        <v>111</v>
      </c>
      <c r="L181" s="100">
        <f t="shared" si="143"/>
        <v>-0.0074</v>
      </c>
      <c r="M181" s="38">
        <f>L181+Podsumowanie!E$6</f>
        <v>0.0046</v>
      </c>
      <c r="N181" s="101">
        <f>MAX(Podsumowanie!E$4+SUM(AA$5:AA180)-SUM(X$5:X181)+SUM(W$5:W181),0)</f>
        <v>134781.44055783233</v>
      </c>
      <c r="O181" s="102">
        <f>MAX(Podsumowanie!E$2+SUM(V$5:V180)-SUM(S$5:S181)+SUM(R$5:R181),0)</f>
        <v>297272.05835418706</v>
      </c>
      <c r="P181" s="39">
        <f t="shared" si="189"/>
        <v>360</v>
      </c>
      <c r="Q181" s="40" t="str">
        <f>IF(AND(K181&gt;0,K181&lt;=Podsumowanie!E$9),"tak","nie")</f>
        <v>nie</v>
      </c>
      <c r="R181" s="41"/>
      <c r="S181" s="42"/>
      <c r="T181" s="88">
        <f t="shared" si="175"/>
        <v>-113.95428903577171</v>
      </c>
      <c r="U181" s="89">
        <f>IF(Q181="tak",T181,IF(P181-SUM(AB$5:AB181)+1&gt;0,IF(Podsumowanie!E$7&lt;B181,IF(SUM(AB$5:AB181)-Podsumowanie!E$9+1&gt;0,PMT(M181/12,P181+1-SUM(AB$5:AB181),O181),T181),0),0))</f>
        <v>-1242.4683365655312</v>
      </c>
      <c r="V181" s="89">
        <f t="shared" si="196"/>
        <v>-1128.5140475297594</v>
      </c>
      <c r="W181" s="90" t="str">
        <f>IF(R181&gt;0,R181/(C181*(1-Podsumowanie!E$11))," ")</f>
        <v xml:space="preserve"> </v>
      </c>
      <c r="X181" s="90" t="str">
        <f t="shared" si="171"/>
        <v xml:space="preserve"> </v>
      </c>
      <c r="Y181" s="91">
        <f t="shared" si="164"/>
        <v>-51.66621888050239</v>
      </c>
      <c r="Z181" s="90">
        <f>IF(P181-SUM(AB$5:AB181)+1&gt;0,IF(Podsumowanie!E$7&lt;B181,IF(SUM(AB$5:AB181)-Podsumowanie!E$9+1&gt;0,PMT(M181/12,P181+1-SUM(AB$5:AB181),N181),Y181),0),0)</f>
        <v>-563.3279938145835</v>
      </c>
      <c r="AA181" s="90">
        <f t="shared" si="197"/>
        <v>-511.66177493408105</v>
      </c>
      <c r="AB181" s="8">
        <f>IF(AND(Podsumowanie!E$7&lt;B181,SUM(AB$5:AB180)&lt;P180),1," ")</f>
        <v>1</v>
      </c>
      <c r="AD181" s="10">
        <f>Podsumowanie!E$4-SUM(AF$5:AF180)+SUM(W$42:W181)-SUM(X$42:X181)</f>
        <v>126293.74813555225</v>
      </c>
      <c r="AE181" s="10">
        <f t="shared" si="176"/>
        <v>48.41</v>
      </c>
      <c r="AF181" s="10">
        <f t="shared" si="177"/>
        <v>505.17</v>
      </c>
      <c r="AG181" s="10">
        <f t="shared" si="198"/>
        <v>553.58</v>
      </c>
      <c r="AH181" s="10">
        <f t="shared" si="172"/>
        <v>2257.14</v>
      </c>
      <c r="AI181" s="10">
        <f>Podsumowanie!E$2-SUM(AK$5:AK180)+SUM(R$42:R181)-SUM(S$42:S181)</f>
        <v>278551.2499999999</v>
      </c>
      <c r="AJ181" s="10">
        <f t="shared" si="178"/>
        <v>106.78</v>
      </c>
      <c r="AK181" s="10">
        <f t="shared" si="179"/>
        <v>1114.21</v>
      </c>
      <c r="AL181" s="10">
        <f t="shared" si="199"/>
        <v>1220.99</v>
      </c>
      <c r="AM181" s="10">
        <f t="shared" si="200"/>
        <v>1036.1499999999999</v>
      </c>
      <c r="AO181" s="43">
        <f t="shared" si="173"/>
        <v>42614</v>
      </c>
      <c r="AP181" s="11">
        <f>AP$5+SUM(AS$5:AS180)-SUM(X$5:X181)+SUM(W$5:W181)</f>
        <v>130737.99734109733</v>
      </c>
      <c r="AQ181" s="10">
        <f t="shared" si="182"/>
        <v>-50.11623231408731</v>
      </c>
      <c r="AR181" s="10">
        <f>IF(AB181=1,IF(Q181="tak",AQ181,PMT(M181/12,P181+1-SUM(AB$5:AB181),AP181)),0)</f>
        <v>-546.4281540001458</v>
      </c>
      <c r="AS181" s="10">
        <f t="shared" si="183"/>
        <v>-496.3119216860585</v>
      </c>
      <c r="AT181" s="10">
        <f t="shared" si="184"/>
        <v>-2163.0904904249774</v>
      </c>
      <c r="AV181" s="11">
        <f>AV$5+SUM(AX$5:AX180)+SUM(W$5:W180)-SUM(X$5:X180)</f>
        <v>122504.78719148574</v>
      </c>
      <c r="AW181" s="11">
        <f t="shared" si="185"/>
        <v>-50.11623231408731</v>
      </c>
      <c r="AX181" s="11">
        <f t="shared" si="186"/>
        <v>-490.02</v>
      </c>
      <c r="AY181" s="11">
        <f t="shared" si="191"/>
        <v>-540.1362323140872</v>
      </c>
      <c r="AZ181" s="11">
        <f t="shared" si="174"/>
        <v>-2138.183289238546</v>
      </c>
      <c r="BB181" s="191">
        <f t="shared" si="144"/>
        <v>0.0171</v>
      </c>
      <c r="BC181" s="44">
        <f>BB181+Podsumowanie!$E$6</f>
        <v>0.0291</v>
      </c>
      <c r="BD181" s="11">
        <f>BD$5+SUM(BE$5:BE180)+SUM(R$5:R180)-SUM(S$5:S180)</f>
        <v>332219.68580933154</v>
      </c>
      <c r="BE181" s="10">
        <f t="shared" si="201"/>
        <v>-962.9375912812369</v>
      </c>
      <c r="BF181" s="10">
        <f t="shared" si="202"/>
        <v>-805.632738087629</v>
      </c>
      <c r="BG181" s="10">
        <f>IF(U181&lt;0,PMT(BC181/12,Podsumowanie!E$8-SUM(AB$5:AB181)+1,BD181),0)</f>
        <v>-1768.570329368866</v>
      </c>
      <c r="BI181" s="11">
        <f>BI$5+SUM(BK$5:BK180)+SUM(R$5:R180)-SUM(S$5:S180)</f>
        <v>278551.532033426</v>
      </c>
      <c r="BJ181" s="11">
        <f t="shared" si="138"/>
        <v>-675.487465181058</v>
      </c>
      <c r="BK181" s="11">
        <f t="shared" si="139"/>
        <v>-1114.206128133704</v>
      </c>
      <c r="BL181" s="11">
        <f t="shared" si="188"/>
        <v>-1789.693593314762</v>
      </c>
      <c r="BN181" s="44">
        <f t="shared" si="145"/>
        <v>0.0292</v>
      </c>
      <c r="BO181" s="11">
        <f>BO$5+SUM(BP$5:BP180)+SUM(R$5:R180)-SUM(S$5:S180)+SUM(BS$5:BS180)</f>
        <v>354600.2925776828</v>
      </c>
      <c r="BP181" s="10">
        <f t="shared" si="154"/>
        <v>-1026.632167822539</v>
      </c>
      <c r="BQ181" s="10">
        <f t="shared" si="155"/>
        <v>-862.8607119390282</v>
      </c>
      <c r="BR181" s="10">
        <f>IF(U181&lt;0,PMT(BN181/12,Podsumowanie!E$8-SUM(AB$5:AB181)+1,BO181),0)</f>
        <v>-1889.492879761567</v>
      </c>
      <c r="BS181" s="10">
        <f t="shared" si="149"/>
        <v>-407.39702244227556</v>
      </c>
      <c r="BU181" s="11">
        <f>BU$5+SUM(BW$5:BW180)+SUM(R$5:R180)-SUM(S$5:S180)+SUM(BY$5,BY180)</f>
        <v>277937.3947359023</v>
      </c>
      <c r="BV181" s="10">
        <f t="shared" si="146"/>
        <v>-676.3143271906956</v>
      </c>
      <c r="BW181" s="10">
        <f t="shared" si="147"/>
        <v>-1111.7495789436093</v>
      </c>
      <c r="BX181" s="10">
        <f t="shared" si="156"/>
        <v>-1788.063906134305</v>
      </c>
      <c r="BY181" s="10">
        <f t="shared" si="157"/>
        <v>-508.8259960695377</v>
      </c>
      <c r="CA181" s="10">
        <f>CA$5+SUM(CB$5:CB180)+SUM(R$5:R180)-SUM(S$5:S180)-SUM(CC$5:CC180)</f>
        <v>331664.85174768046</v>
      </c>
      <c r="CB181" s="10">
        <f t="shared" si="150"/>
        <v>676.3143271906956</v>
      </c>
      <c r="CC181" s="10">
        <f t="shared" si="151"/>
        <v>2296.8899022038427</v>
      </c>
      <c r="CD181" s="10">
        <f t="shared" si="152"/>
        <v>1620.575575013147</v>
      </c>
      <c r="CF181" s="44">
        <f t="shared" si="148"/>
        <v>0.4804</v>
      </c>
      <c r="CG181" s="10">
        <f t="shared" si="153"/>
        <v>-1103.43</v>
      </c>
      <c r="CH181" s="4">
        <f t="shared" si="158"/>
        <v>0</v>
      </c>
    </row>
    <row r="182" spans="1:86" ht="15.75">
      <c r="A182" s="36"/>
      <c r="B182" s="37">
        <v>42644</v>
      </c>
      <c r="C182" s="77">
        <f t="shared" si="142"/>
        <v>3.9615</v>
      </c>
      <c r="D182" s="79">
        <f>C182*(1+Podsumowanie!E$11)</f>
        <v>4.080345</v>
      </c>
      <c r="E182" s="34">
        <f t="shared" si="192"/>
        <v>-563.3279938145834</v>
      </c>
      <c r="F182" s="7">
        <f t="shared" si="193"/>
        <v>-2298.572562921366</v>
      </c>
      <c r="G182" s="7">
        <f t="shared" si="194"/>
        <v>-1242.468336565531</v>
      </c>
      <c r="H182" s="7">
        <f t="shared" si="195"/>
        <v>1056.1042263558352</v>
      </c>
      <c r="I182" s="32"/>
      <c r="K182" s="4">
        <f>IF(B182&lt;Podsumowanie!E$7,0,K181+1)</f>
        <v>112</v>
      </c>
      <c r="L182" s="100">
        <f t="shared" si="143"/>
        <v>-0.0074</v>
      </c>
      <c r="M182" s="38">
        <f>L182+Podsumowanie!E$6</f>
        <v>0.0046</v>
      </c>
      <c r="N182" s="101">
        <f>MAX(Podsumowanie!E$4+SUM(AA$5:AA181)-SUM(X$5:X182)+SUM(W$5:W182),0)</f>
        <v>134269.77878289824</v>
      </c>
      <c r="O182" s="102">
        <f>MAX(Podsumowanie!E$2+SUM(V$5:V181)-SUM(S$5:S182)+SUM(R$5:R182),0)</f>
        <v>296143.5443066573</v>
      </c>
      <c r="P182" s="39">
        <f t="shared" si="189"/>
        <v>360</v>
      </c>
      <c r="Q182" s="40" t="str">
        <f>IF(AND(K182&gt;0,K182&lt;=Podsumowanie!E$9),"tak","nie")</f>
        <v>nie</v>
      </c>
      <c r="R182" s="41"/>
      <c r="S182" s="42"/>
      <c r="T182" s="88">
        <f aca="true" t="shared" si="203" ref="T182:T187">IF(AB182=1,-O182*M182/12,0)</f>
        <v>-113.52169198421863</v>
      </c>
      <c r="U182" s="89">
        <f>IF(Q182="tak",T182,IF(P182-SUM(AB$5:AB182)+1&gt;0,IF(Podsumowanie!E$7&lt;B182,IF(SUM(AB$5:AB182)-Podsumowanie!E$9+1&gt;0,PMT(M182/12,P182+1-SUM(AB$5:AB182),O182),T182),0),0))</f>
        <v>-1242.468336565531</v>
      </c>
      <c r="V182" s="89">
        <f t="shared" si="196"/>
        <v>-1128.9466445813123</v>
      </c>
      <c r="W182" s="90" t="str">
        <f>IF(R182&gt;0,R182/(C182*(1-Podsumowanie!E$11))," ")</f>
        <v xml:space="preserve"> </v>
      </c>
      <c r="X182" s="90" t="str">
        <f t="shared" si="171"/>
        <v xml:space="preserve"> </v>
      </c>
      <c r="Y182" s="91">
        <f aca="true" t="shared" si="204" ref="Y182:Y187">IF(AB182=1,-N182*M182/12,0)</f>
        <v>-51.47008186677766</v>
      </c>
      <c r="Z182" s="90">
        <f>IF(P182-SUM(AB$5:AB182)+1&gt;0,IF(Podsumowanie!E$7&lt;B182,IF(SUM(AB$5:AB182)-Podsumowanie!E$9+1&gt;0,PMT(M182/12,P182+1-SUM(AB$5:AB182),N182),Y182),0),0)</f>
        <v>-563.3279938145834</v>
      </c>
      <c r="AA182" s="90">
        <f t="shared" si="197"/>
        <v>-511.8579119478057</v>
      </c>
      <c r="AB182" s="8">
        <f>IF(AND(Podsumowanie!E$7&lt;B182,SUM(AB$5:AB181)&lt;P181),1," ")</f>
        <v>1</v>
      </c>
      <c r="AD182" s="10">
        <f>Podsumowanie!E$4-SUM(AF$5:AF181)+SUM(W$42:W182)-SUM(X$42:X182)</f>
        <v>125788.57813555226</v>
      </c>
      <c r="AE182" s="10">
        <f aca="true" t="shared" si="205" ref="AE182:AE187">IF(AB182=1,ROUND(AD182*M182/12,2),0)</f>
        <v>48.22</v>
      </c>
      <c r="AF182" s="10">
        <f aca="true" t="shared" si="206" ref="AF182:AF187">IF(Q182="tak",0,IF(AB182=1,ROUND(AD182/(P182-K182+1),2),0))</f>
        <v>505.18</v>
      </c>
      <c r="AG182" s="10">
        <f t="shared" si="198"/>
        <v>553.4</v>
      </c>
      <c r="AH182" s="10">
        <f t="shared" si="172"/>
        <v>2258.06</v>
      </c>
      <c r="AI182" s="10">
        <f>Podsumowanie!E$2-SUM(AK$5:AK181)+SUM(R$42:R182)-SUM(S$42:S182)</f>
        <v>277437.03999999986</v>
      </c>
      <c r="AJ182" s="10">
        <f aca="true" t="shared" si="207" ref="AJ182:AJ187">IF(AB182=1,ROUND(AI182*M182/12,2),0)</f>
        <v>106.35</v>
      </c>
      <c r="AK182" s="10">
        <f aca="true" t="shared" si="208" ref="AK182:AK187">IF(Q182="tak",0,IF(AB182=1,ROUND(AI182/(P182-K182+1),2),0))</f>
        <v>1114.2</v>
      </c>
      <c r="AL182" s="10">
        <f t="shared" si="199"/>
        <v>1220.55</v>
      </c>
      <c r="AM182" s="10">
        <f t="shared" si="200"/>
        <v>1037.51</v>
      </c>
      <c r="AO182" s="43">
        <f t="shared" si="173"/>
        <v>42644</v>
      </c>
      <c r="AP182" s="11">
        <f>AP$5+SUM(AS$5:AS181)-SUM(X$5:X182)+SUM(W$5:W182)</f>
        <v>130241.68541941127</v>
      </c>
      <c r="AQ182" s="10">
        <f aca="true" t="shared" si="209" ref="AQ182:AQ187">IF(AB182=1,-AP182*M182/12,0)</f>
        <v>-49.92597941077432</v>
      </c>
      <c r="AR182" s="10">
        <f>IF(AB182=1,IF(Q182="tak",AQ182,PMT(M182/12,P182+1-SUM(AB$5:AB182),AP182)),0)</f>
        <v>-546.4281540001457</v>
      </c>
      <c r="AS182" s="10">
        <f t="shared" si="183"/>
        <v>-496.5021745893714</v>
      </c>
      <c r="AT182" s="10">
        <f t="shared" si="184"/>
        <v>-2164.675132071577</v>
      </c>
      <c r="AV182" s="11">
        <f>AV$5+SUM(AX$5:AX181)+SUM(W$5:W181)-SUM(X$5:X181)</f>
        <v>122014.76719148573</v>
      </c>
      <c r="AW182" s="11">
        <f aca="true" t="shared" si="210" ref="AW182:AW187">IF(AB182=1,-AP182*M182/12,0)</f>
        <v>-49.92597941077432</v>
      </c>
      <c r="AX182" s="11">
        <f aca="true" t="shared" si="211" ref="AX182:AX187">IF(AB182=1,IF(Q182="tak",0,ROUND(-AV182/(P182-K182+1),2)),0)</f>
        <v>-490.02</v>
      </c>
      <c r="AY182" s="11">
        <f aca="true" t="shared" si="212" ref="AY182:AY187">AX182+AW182</f>
        <v>-539.9459794107743</v>
      </c>
      <c r="AZ182" s="11">
        <f t="shared" si="174"/>
        <v>-2138.995997435782</v>
      </c>
      <c r="BB182" s="191">
        <f t="shared" si="144"/>
        <v>0.0172</v>
      </c>
      <c r="BC182" s="44">
        <f>BB182+Podsumowanie!$E$6</f>
        <v>0.0292</v>
      </c>
      <c r="BD182" s="11">
        <f>BD$5+SUM(BE$5:BE181)+SUM(R$5:R181)-SUM(S$5:S181)</f>
        <v>331256.7482180503</v>
      </c>
      <c r="BE182" s="10">
        <f t="shared" si="201"/>
        <v>-964.1735142130007</v>
      </c>
      <c r="BF182" s="10">
        <f t="shared" si="202"/>
        <v>-806.058087330589</v>
      </c>
      <c r="BG182" s="10">
        <f>IF(U182&lt;0,PMT(BC182/12,Podsumowanie!E$8-SUM(AB$5:AB182)+1,BD182),0)</f>
        <v>-1770.2316015435897</v>
      </c>
      <c r="BI182" s="11">
        <f>BI$5+SUM(BK$5:BK181)+SUM(R$5:R181)-SUM(S$5:S181)</f>
        <v>277437.32590529224</v>
      </c>
      <c r="BJ182" s="11">
        <f t="shared" si="138"/>
        <v>-675.0974930362112</v>
      </c>
      <c r="BK182" s="11">
        <f t="shared" si="139"/>
        <v>-1114.2061281337037</v>
      </c>
      <c r="BL182" s="11">
        <f t="shared" si="188"/>
        <v>-1789.303621169915</v>
      </c>
      <c r="BN182" s="44">
        <f t="shared" si="145"/>
        <v>0.0293</v>
      </c>
      <c r="BO182" s="11">
        <f>BO$5+SUM(BP$5:BP181)+SUM(R$5:R181)-SUM(S$5:S181)+SUM(BS$5:BS181)</f>
        <v>353166.26338741794</v>
      </c>
      <c r="BP182" s="10">
        <f t="shared" si="154"/>
        <v>-1026.7735935269566</v>
      </c>
      <c r="BQ182" s="10">
        <f t="shared" si="155"/>
        <v>-862.3142931042788</v>
      </c>
      <c r="BR182" s="10">
        <f>IF(U182&lt;0,PMT(BN182/12,Podsumowanie!E$8-SUM(AB$5:AB182)+1,BO182),0)</f>
        <v>-1889.0878866312353</v>
      </c>
      <c r="BS182" s="10">
        <f t="shared" si="149"/>
        <v>-409.4846762901309</v>
      </c>
      <c r="BU182" s="11">
        <f>BU$5+SUM(BW$5:BW181)+SUM(R$5:R181)-SUM(S$5:S181)+SUM(BY$5,BY181)</f>
        <v>276821.1179276153</v>
      </c>
      <c r="BV182" s="10">
        <f t="shared" si="146"/>
        <v>-675.9048962732606</v>
      </c>
      <c r="BW182" s="10">
        <f t="shared" si="147"/>
        <v>-1111.7313972996599</v>
      </c>
      <c r="BX182" s="10">
        <f t="shared" si="156"/>
        <v>-1787.6362935729205</v>
      </c>
      <c r="BY182" s="10">
        <f t="shared" si="157"/>
        <v>-510.93626934844565</v>
      </c>
      <c r="CA182" s="10">
        <f>CA$5+SUM(CB$5:CB181)+SUM(R$5:R181)-SUM(S$5:S181)-SUM(CC$5:CC181)</f>
        <v>330044.2761726674</v>
      </c>
      <c r="CB182" s="10">
        <f t="shared" si="150"/>
        <v>675.9048962732606</v>
      </c>
      <c r="CC182" s="10">
        <f t="shared" si="151"/>
        <v>2298.572562921366</v>
      </c>
      <c r="CD182" s="10">
        <f t="shared" si="152"/>
        <v>1622.6676666481055</v>
      </c>
      <c r="CF182" s="44">
        <f t="shared" si="148"/>
        <v>0.473</v>
      </c>
      <c r="CG182" s="10">
        <f t="shared" si="153"/>
        <v>-1087.22</v>
      </c>
      <c r="CH182" s="4">
        <f t="shared" si="158"/>
        <v>0</v>
      </c>
    </row>
    <row r="183" spans="1:86" ht="15.75">
      <c r="A183" s="36"/>
      <c r="B183" s="37">
        <v>42675</v>
      </c>
      <c r="C183" s="77">
        <f t="shared" si="142"/>
        <v>4.0749</v>
      </c>
      <c r="D183" s="79">
        <f>C183*(1+Podsumowanie!E$11)</f>
        <v>4.197147</v>
      </c>
      <c r="E183" s="34">
        <f t="shared" si="192"/>
        <v>-563.3279938145835</v>
      </c>
      <c r="F183" s="7">
        <f t="shared" si="193"/>
        <v>-2364.3703992548976</v>
      </c>
      <c r="G183" s="7">
        <f t="shared" si="194"/>
        <v>-1242.4683365655314</v>
      </c>
      <c r="H183" s="7">
        <f t="shared" si="195"/>
        <v>1121.9020626893662</v>
      </c>
      <c r="I183" s="32"/>
      <c r="K183" s="4">
        <f>IF(B183&lt;Podsumowanie!E$7,0,K182+1)</f>
        <v>113</v>
      </c>
      <c r="L183" s="100">
        <f t="shared" si="143"/>
        <v>-0.0074</v>
      </c>
      <c r="M183" s="38">
        <f>L183+Podsumowanie!E$6</f>
        <v>0.0046</v>
      </c>
      <c r="N183" s="101">
        <f>MAX(Podsumowanie!E$4+SUM(AA$5:AA182)-SUM(X$5:X183)+SUM(W$5:W183),0)</f>
        <v>133757.92087095045</v>
      </c>
      <c r="O183" s="102">
        <f>MAX(Podsumowanie!E$2+SUM(V$5:V182)-SUM(S$5:S183)+SUM(R$5:R183),0)</f>
        <v>295014.597662076</v>
      </c>
      <c r="P183" s="39">
        <f t="shared" si="189"/>
        <v>360</v>
      </c>
      <c r="Q183" s="40" t="str">
        <f>IF(AND(K183&gt;0,K183&lt;=Podsumowanie!E$9),"tak","nie")</f>
        <v>nie</v>
      </c>
      <c r="R183" s="41"/>
      <c r="S183" s="42"/>
      <c r="T183" s="88">
        <f t="shared" si="203"/>
        <v>-113.0889291037958</v>
      </c>
      <c r="U183" s="89">
        <f>IF(Q183="tak",T183,IF(P183-SUM(AB$5:AB183)+1&gt;0,IF(Podsumowanie!E$7&lt;B183,IF(SUM(AB$5:AB183)-Podsumowanie!E$9+1&gt;0,PMT(M183/12,P183+1-SUM(AB$5:AB183),O183),T183),0),0))</f>
        <v>-1242.4683365655314</v>
      </c>
      <c r="V183" s="89">
        <f t="shared" si="196"/>
        <v>-1129.3794074617356</v>
      </c>
      <c r="W183" s="90" t="str">
        <f>IF(R183&gt;0,R183/(C183*(1-Podsumowanie!E$11))," ")</f>
        <v xml:space="preserve"> </v>
      </c>
      <c r="X183" s="90" t="str">
        <f t="shared" si="171"/>
        <v xml:space="preserve"> </v>
      </c>
      <c r="Y183" s="91">
        <f t="shared" si="204"/>
        <v>-51.273869667197665</v>
      </c>
      <c r="Z183" s="90">
        <f>IF(P183-SUM(AB$5:AB183)+1&gt;0,IF(Podsumowanie!E$7&lt;B183,IF(SUM(AB$5:AB183)-Podsumowanie!E$9+1&gt;0,PMT(M183/12,P183+1-SUM(AB$5:AB183),N183),Y183),0),0)</f>
        <v>-563.3279938145835</v>
      </c>
      <c r="AA183" s="90">
        <f t="shared" si="197"/>
        <v>-512.0541241473858</v>
      </c>
      <c r="AB183" s="8">
        <f>IF(AND(Podsumowanie!E$7&lt;B183,SUM(AB$5:AB182)&lt;P182),1," ")</f>
        <v>1</v>
      </c>
      <c r="AD183" s="10">
        <f>Podsumowanie!E$4-SUM(AF$5:AF182)+SUM(W$42:W183)-SUM(X$42:X183)</f>
        <v>125283.39813555226</v>
      </c>
      <c r="AE183" s="10">
        <f t="shared" si="205"/>
        <v>48.03</v>
      </c>
      <c r="AF183" s="10">
        <f t="shared" si="206"/>
        <v>505.17</v>
      </c>
      <c r="AG183" s="10">
        <f t="shared" si="198"/>
        <v>553.2</v>
      </c>
      <c r="AH183" s="10">
        <f t="shared" si="172"/>
        <v>2321.86</v>
      </c>
      <c r="AI183" s="10">
        <f>Podsumowanie!E$2-SUM(AK$5:AK182)+SUM(R$42:R183)-SUM(S$42:S183)</f>
        <v>276322.83999999985</v>
      </c>
      <c r="AJ183" s="10">
        <f t="shared" si="207"/>
        <v>105.92</v>
      </c>
      <c r="AK183" s="10">
        <f t="shared" si="208"/>
        <v>1114.21</v>
      </c>
      <c r="AL183" s="10">
        <f t="shared" si="199"/>
        <v>1220.13</v>
      </c>
      <c r="AM183" s="10">
        <f t="shared" si="200"/>
        <v>1101.73</v>
      </c>
      <c r="AO183" s="43">
        <f t="shared" si="173"/>
        <v>42675</v>
      </c>
      <c r="AP183" s="11">
        <f>AP$5+SUM(AS$5:AS182)-SUM(X$5:X183)+SUM(W$5:W183)</f>
        <v>129745.1832448219</v>
      </c>
      <c r="AQ183" s="10">
        <f t="shared" si="209"/>
        <v>-49.73565357718173</v>
      </c>
      <c r="AR183" s="10">
        <f>IF(AB183=1,IF(Q183="tak",AQ183,PMT(M183/12,P183+1-SUM(AB$5:AB183),AP183)),0)</f>
        <v>-546.4281540001458</v>
      </c>
      <c r="AS183" s="10">
        <f t="shared" si="183"/>
        <v>-496.6925004229641</v>
      </c>
      <c r="AT183" s="10">
        <f t="shared" si="184"/>
        <v>-2226.6400847351943</v>
      </c>
      <c r="AV183" s="11">
        <f>AV$5+SUM(AX$5:AX182)+SUM(W$5:W182)-SUM(X$5:X182)</f>
        <v>121524.74719148575</v>
      </c>
      <c r="AW183" s="11">
        <f t="shared" si="210"/>
        <v>-49.73565357718173</v>
      </c>
      <c r="AX183" s="11">
        <f t="shared" si="211"/>
        <v>-490.02</v>
      </c>
      <c r="AY183" s="11">
        <f t="shared" si="212"/>
        <v>-539.7556535771818</v>
      </c>
      <c r="AZ183" s="11">
        <f t="shared" si="174"/>
        <v>-2199.450312761658</v>
      </c>
      <c r="BB183" s="191">
        <f t="shared" si="144"/>
        <v>0.0173</v>
      </c>
      <c r="BC183" s="44">
        <f>BB183+Podsumowanie!$E$6</f>
        <v>0.0293</v>
      </c>
      <c r="BD183" s="11">
        <f>BD$5+SUM(BE$5:BE182)+SUM(R$5:R182)-SUM(S$5:S182)</f>
        <v>330292.5747038373</v>
      </c>
      <c r="BE183" s="10">
        <f t="shared" si="201"/>
        <v>-965.4235324815393</v>
      </c>
      <c r="BF183" s="10">
        <f t="shared" si="202"/>
        <v>-806.4643699018693</v>
      </c>
      <c r="BG183" s="10">
        <f>IF(U183&lt;0,PMT(BC183/12,Podsumowanie!E$8-SUM(AB$5:AB183)+1,BD183),0)</f>
        <v>-1771.8879023834086</v>
      </c>
      <c r="BI183" s="11">
        <f>BI$5+SUM(BK$5:BK182)+SUM(R$5:R182)-SUM(S$5:S182)</f>
        <v>276323.11977715854</v>
      </c>
      <c r="BJ183" s="11">
        <f t="shared" si="138"/>
        <v>-674.6889507892288</v>
      </c>
      <c r="BK183" s="11">
        <f t="shared" si="139"/>
        <v>-1114.2061281337037</v>
      </c>
      <c r="BL183" s="11">
        <f t="shared" si="188"/>
        <v>-1788.8950789229325</v>
      </c>
      <c r="BN183" s="44">
        <f t="shared" si="145"/>
        <v>0.0294</v>
      </c>
      <c r="BO183" s="11">
        <f>BO$5+SUM(BP$5:BP182)+SUM(R$5:R182)-SUM(S$5:S182)+SUM(BS$5:BS182)</f>
        <v>351730.0051176009</v>
      </c>
      <c r="BP183" s="10">
        <f t="shared" si="154"/>
        <v>-1026.9174276664248</v>
      </c>
      <c r="BQ183" s="10">
        <f t="shared" si="155"/>
        <v>-861.7385125381221</v>
      </c>
      <c r="BR183" s="10">
        <f>IF(U183&lt;0,PMT(BN183/12,Podsumowanie!E$8-SUM(AB$5:AB183)+1,BO183),0)</f>
        <v>-1888.655940204547</v>
      </c>
      <c r="BS183" s="10">
        <f t="shared" si="149"/>
        <v>-475.71445905035057</v>
      </c>
      <c r="BU183" s="11">
        <f>BU$5+SUM(BW$5:BW182)+SUM(R$5:R182)-SUM(S$5:S182)+SUM(BY$5,BY182)</f>
        <v>275707.2762570367</v>
      </c>
      <c r="BV183" s="10">
        <f t="shared" si="146"/>
        <v>-675.4828268297399</v>
      </c>
      <c r="BW183" s="10">
        <f t="shared" si="147"/>
        <v>-1111.7228881332126</v>
      </c>
      <c r="BX183" s="10">
        <f t="shared" si="156"/>
        <v>-1787.2057149629525</v>
      </c>
      <c r="BY183" s="10">
        <f t="shared" si="157"/>
        <v>-577.1646842919452</v>
      </c>
      <c r="CA183" s="10">
        <f>CA$5+SUM(CB$5:CB182)+SUM(R$5:R182)-SUM(S$5:S182)-SUM(CC$5:CC182)</f>
        <v>328421.6085060193</v>
      </c>
      <c r="CB183" s="10">
        <f t="shared" si="150"/>
        <v>675.4828268297399</v>
      </c>
      <c r="CC183" s="10">
        <f t="shared" si="151"/>
        <v>2364.3703992548976</v>
      </c>
      <c r="CD183" s="10">
        <f t="shared" si="152"/>
        <v>1688.8875724251577</v>
      </c>
      <c r="CF183" s="44">
        <f t="shared" si="148"/>
        <v>0.4716</v>
      </c>
      <c r="CG183" s="10">
        <f t="shared" si="153"/>
        <v>-1115.04</v>
      </c>
      <c r="CH183" s="4">
        <f t="shared" si="158"/>
        <v>0</v>
      </c>
    </row>
    <row r="184" spans="1:86" ht="15.75">
      <c r="A184" s="36"/>
      <c r="B184" s="37">
        <v>42705</v>
      </c>
      <c r="C184" s="77">
        <f t="shared" si="142"/>
        <v>4.1256</v>
      </c>
      <c r="D184" s="79">
        <f>C184*(1+Podsumowanie!E$11)</f>
        <v>4.2493680000000005</v>
      </c>
      <c r="E184" s="34">
        <f t="shared" si="192"/>
        <v>-563.3279938145834</v>
      </c>
      <c r="F184" s="7">
        <f t="shared" si="193"/>
        <v>-2393.7879504198886</v>
      </c>
      <c r="G184" s="7">
        <f t="shared" si="194"/>
        <v>-1242.4683365655314</v>
      </c>
      <c r="H184" s="7">
        <f t="shared" si="195"/>
        <v>1151.3196138543572</v>
      </c>
      <c r="I184" s="32"/>
      <c r="K184" s="4">
        <f>IF(B184&lt;Podsumowanie!E$7,0,K183+1)</f>
        <v>114</v>
      </c>
      <c r="L184" s="100">
        <f t="shared" si="143"/>
        <v>-0.0074</v>
      </c>
      <c r="M184" s="38">
        <f>L184+Podsumowanie!E$6</f>
        <v>0.0046</v>
      </c>
      <c r="N184" s="101">
        <f>MAX(Podsumowanie!E$4+SUM(AA$5:AA183)-SUM(X$5:X184)+SUM(W$5:W184),0)</f>
        <v>133245.86674680305</v>
      </c>
      <c r="O184" s="102">
        <f>MAX(Podsumowanie!E$2+SUM(V$5:V183)-SUM(S$5:S184)+SUM(R$5:R184),0)</f>
        <v>293885.2182546143</v>
      </c>
      <c r="P184" s="39">
        <f t="shared" si="189"/>
        <v>360</v>
      </c>
      <c r="Q184" s="40" t="str">
        <f>IF(AND(K184&gt;0,K184&lt;=Podsumowanie!E$9),"tak","nie")</f>
        <v>nie</v>
      </c>
      <c r="R184" s="41"/>
      <c r="S184" s="42"/>
      <c r="T184" s="88">
        <f t="shared" si="203"/>
        <v>-112.65600033093547</v>
      </c>
      <c r="U184" s="89">
        <f>IF(Q184="tak",T184,IF(P184-SUM(AB$5:AB184)+1&gt;0,IF(Podsumowanie!E$7&lt;B184,IF(SUM(AB$5:AB184)-Podsumowanie!E$9+1&gt;0,PMT(M184/12,P184+1-SUM(AB$5:AB184),O184),T184),0),0))</f>
        <v>-1242.4683365655314</v>
      </c>
      <c r="V184" s="89">
        <f t="shared" si="196"/>
        <v>-1129.812336234596</v>
      </c>
      <c r="W184" s="90" t="str">
        <f>IF(R184&gt;0,R184/(C184*(1-Podsumowanie!E$11))," ")</f>
        <v xml:space="preserve"> </v>
      </c>
      <c r="X184" s="90" t="str">
        <f t="shared" si="171"/>
        <v xml:space="preserve"> </v>
      </c>
      <c r="Y184" s="91">
        <f t="shared" si="204"/>
        <v>-51.07758225294117</v>
      </c>
      <c r="Z184" s="90">
        <f>IF(P184-SUM(AB$5:AB184)+1&gt;0,IF(Podsumowanie!E$7&lt;B184,IF(SUM(AB$5:AB184)-Podsumowanie!E$9+1&gt;0,PMT(M184/12,P184+1-SUM(AB$5:AB184),N184),Y184),0),0)</f>
        <v>-563.3279938145834</v>
      </c>
      <c r="AA184" s="90">
        <f t="shared" si="197"/>
        <v>-512.2504115616422</v>
      </c>
      <c r="AB184" s="8">
        <f>IF(AND(Podsumowanie!E$7&lt;B184,SUM(AB$5:AB183)&lt;P183),1," ")</f>
        <v>1</v>
      </c>
      <c r="AD184" s="10">
        <f>Podsumowanie!E$4-SUM(AF$5:AF183)+SUM(W$42:W184)-SUM(X$42:X184)</f>
        <v>124778.22813555226</v>
      </c>
      <c r="AE184" s="10">
        <f t="shared" si="205"/>
        <v>47.83</v>
      </c>
      <c r="AF184" s="10">
        <f t="shared" si="206"/>
        <v>505.18</v>
      </c>
      <c r="AG184" s="10">
        <f t="shared" si="198"/>
        <v>553.01</v>
      </c>
      <c r="AH184" s="10">
        <f t="shared" si="172"/>
        <v>2349.94</v>
      </c>
      <c r="AI184" s="10">
        <f>Podsumowanie!E$2-SUM(AK$5:AK183)+SUM(R$42:R184)-SUM(S$42:S184)</f>
        <v>275208.62999999983</v>
      </c>
      <c r="AJ184" s="10">
        <f t="shared" si="207"/>
        <v>105.5</v>
      </c>
      <c r="AK184" s="10">
        <f t="shared" si="208"/>
        <v>1114.2</v>
      </c>
      <c r="AL184" s="10">
        <f t="shared" si="199"/>
        <v>1219.7</v>
      </c>
      <c r="AM184" s="10">
        <f t="shared" si="200"/>
        <v>1130.24</v>
      </c>
      <c r="AO184" s="43">
        <f t="shared" si="173"/>
        <v>42705</v>
      </c>
      <c r="AP184" s="11">
        <f>AP$5+SUM(AS$5:AS183)-SUM(X$5:X184)+SUM(W$5:W184)</f>
        <v>129248.49074439894</v>
      </c>
      <c r="AQ184" s="10">
        <f t="shared" si="209"/>
        <v>-49.54525478535293</v>
      </c>
      <c r="AR184" s="10">
        <f>IF(AB184=1,IF(Q184="tak",AQ184,PMT(M184/12,P184+1-SUM(AB$5:AB184),AP184)),0)</f>
        <v>-546.4281540001458</v>
      </c>
      <c r="AS184" s="10">
        <f t="shared" si="183"/>
        <v>-496.8828992147929</v>
      </c>
      <c r="AT184" s="10">
        <f t="shared" si="184"/>
        <v>-2254.3439921430017</v>
      </c>
      <c r="AV184" s="11">
        <f>AV$5+SUM(AX$5:AX183)+SUM(W$5:W183)-SUM(X$5:X183)</f>
        <v>121034.72719148576</v>
      </c>
      <c r="AW184" s="11">
        <f t="shared" si="210"/>
        <v>-49.54525478535293</v>
      </c>
      <c r="AX184" s="11">
        <f t="shared" si="211"/>
        <v>-490.02</v>
      </c>
      <c r="AY184" s="11">
        <f t="shared" si="212"/>
        <v>-539.5652547853529</v>
      </c>
      <c r="AZ184" s="11">
        <f t="shared" si="174"/>
        <v>-2226.030415142452</v>
      </c>
      <c r="BB184" s="191">
        <f t="shared" si="144"/>
        <v>0.0173</v>
      </c>
      <c r="BC184" s="44">
        <f>BB184+Podsumowanie!$E$6</f>
        <v>0.0293</v>
      </c>
      <c r="BD184" s="11">
        <f>BD$5+SUM(BE$5:BE183)+SUM(R$5:R183)-SUM(S$5:S183)</f>
        <v>329327.15117135574</v>
      </c>
      <c r="BE184" s="10">
        <f t="shared" si="201"/>
        <v>-967.7807749400155</v>
      </c>
      <c r="BF184" s="10">
        <f t="shared" si="202"/>
        <v>-804.1071274433936</v>
      </c>
      <c r="BG184" s="10">
        <f>IF(U184&lt;0,PMT(BC184/12,Podsumowanie!E$8-SUM(AB$5:AB184)+1,BD184),0)</f>
        <v>-1771.887902383409</v>
      </c>
      <c r="BI184" s="11">
        <f>BI$5+SUM(BK$5:BK183)+SUM(R$5:R183)-SUM(S$5:S183)</f>
        <v>275208.91364902485</v>
      </c>
      <c r="BJ184" s="11">
        <f aca="true" t="shared" si="213" ref="BJ184:BJ241">IF(AB184=1,-BC184*BI184/12,0)</f>
        <v>-671.968430826369</v>
      </c>
      <c r="BK184" s="11">
        <f aca="true" t="shared" si="214" ref="BK184:BK241">IF(AB184=1,-BI184/(P184-K184+1),0)</f>
        <v>-1114.206128133704</v>
      </c>
      <c r="BL184" s="11">
        <f t="shared" si="188"/>
        <v>-1786.1745589600728</v>
      </c>
      <c r="BN184" s="44">
        <f t="shared" si="145"/>
        <v>0.0294</v>
      </c>
      <c r="BO184" s="11">
        <f>BO$5+SUM(BP$5:BP183)+SUM(R$5:R183)-SUM(S$5:S183)+SUM(BS$5:BS183)</f>
        <v>350227.37323088414</v>
      </c>
      <c r="BP184" s="10">
        <f t="shared" si="154"/>
        <v>-1028.0369909054466</v>
      </c>
      <c r="BQ184" s="10">
        <f t="shared" si="155"/>
        <v>-858.0570644156661</v>
      </c>
      <c r="BR184" s="10">
        <f>IF(U184&lt;0,PMT(BN184/12,Podsumowanie!E$8-SUM(AB$5:AB184)+1,BO184),0)</f>
        <v>-1886.0940553211128</v>
      </c>
      <c r="BS184" s="10">
        <f t="shared" si="149"/>
        <v>-507.6938950987758</v>
      </c>
      <c r="BU184" s="11">
        <f>BU$5+SUM(BW$5:BW183)+SUM(R$5:R183)-SUM(S$5:S183)+SUM(BY$5,BY183)</f>
        <v>274529.32495396</v>
      </c>
      <c r="BV184" s="10">
        <f t="shared" si="146"/>
        <v>-672.5968461372021</v>
      </c>
      <c r="BW184" s="10">
        <f t="shared" si="147"/>
        <v>-1111.4547568986236</v>
      </c>
      <c r="BX184" s="10">
        <f t="shared" si="156"/>
        <v>-1784.0516030358258</v>
      </c>
      <c r="BY184" s="10">
        <f t="shared" si="157"/>
        <v>-609.7363473840628</v>
      </c>
      <c r="CA184" s="10">
        <f>CA$5+SUM(CB$5:CB183)+SUM(R$5:R183)-SUM(S$5:S183)-SUM(CC$5:CC183)</f>
        <v>326732.72093359404</v>
      </c>
      <c r="CB184" s="10">
        <f t="shared" si="150"/>
        <v>672.5968461372021</v>
      </c>
      <c r="CC184" s="10">
        <f t="shared" si="151"/>
        <v>2393.7879504198886</v>
      </c>
      <c r="CD184" s="10">
        <f t="shared" si="152"/>
        <v>1721.1911042826864</v>
      </c>
      <c r="CF184" s="44">
        <f t="shared" si="148"/>
        <v>0.4613</v>
      </c>
      <c r="CG184" s="10">
        <f t="shared" si="153"/>
        <v>-1104.25</v>
      </c>
      <c r="CH184" s="4">
        <f t="shared" si="158"/>
        <v>0</v>
      </c>
    </row>
    <row r="185" spans="1:86" ht="15.75">
      <c r="A185" s="36">
        <v>2017</v>
      </c>
      <c r="B185" s="37">
        <v>42736</v>
      </c>
      <c r="C185" s="77">
        <f t="shared" si="142"/>
        <v>4.0792</v>
      </c>
      <c r="D185" s="79">
        <f>C185*(1+Podsumowanie!E$11)</f>
        <v>4.201576</v>
      </c>
      <c r="E185" s="34">
        <f t="shared" si="192"/>
        <v>-563.3279938145835</v>
      </c>
      <c r="F185" s="7">
        <f t="shared" si="193"/>
        <v>-2366.8653789395025</v>
      </c>
      <c r="G185" s="7">
        <f t="shared" si="194"/>
        <v>-1242.4683365655314</v>
      </c>
      <c r="H185" s="7">
        <f t="shared" si="195"/>
        <v>1124.397042373971</v>
      </c>
      <c r="I185" s="32"/>
      <c r="K185" s="4">
        <f>IF(B185&lt;Podsumowanie!E$7,0,K184+1)</f>
        <v>115</v>
      </c>
      <c r="L185" s="100">
        <f t="shared" si="143"/>
        <v>-0.0074</v>
      </c>
      <c r="M185" s="38">
        <f>L185+Podsumowanie!E$6</f>
        <v>0.0046</v>
      </c>
      <c r="N185" s="101">
        <f>MAX(Podsumowanie!E$4+SUM(AA$5:AA184)-SUM(X$5:X185)+SUM(W$5:W185),0)</f>
        <v>132733.61633524142</v>
      </c>
      <c r="O185" s="102">
        <f>MAX(Podsumowanie!E$2+SUM(V$5:V184)-SUM(S$5:S185)+SUM(R$5:R185),0)</f>
        <v>292755.40591837966</v>
      </c>
      <c r="P185" s="39">
        <f t="shared" si="189"/>
        <v>360</v>
      </c>
      <c r="Q185" s="40" t="str">
        <f>IF(AND(K185&gt;0,K185&lt;=Podsumowanie!E$9),"tak","nie")</f>
        <v>nie</v>
      </c>
      <c r="R185" s="41"/>
      <c r="S185" s="42"/>
      <c r="T185" s="88">
        <f t="shared" si="203"/>
        <v>-112.22290560204554</v>
      </c>
      <c r="U185" s="89">
        <f>IF(Q185="tak",T185,IF(P185-SUM(AB$5:AB185)+1&gt;0,IF(Podsumowanie!E$7&lt;B185,IF(SUM(AB$5:AB185)-Podsumowanie!E$9+1&gt;0,PMT(M185/12,P185+1-SUM(AB$5:AB185),O185),T185),0),0))</f>
        <v>-1242.4683365655314</v>
      </c>
      <c r="V185" s="89">
        <f t="shared" si="196"/>
        <v>-1130.245430963486</v>
      </c>
      <c r="W185" s="90" t="str">
        <f>IF(R185&gt;0,R185/(C185*(1-Podsumowanie!E$11))," ")</f>
        <v xml:space="preserve"> </v>
      </c>
      <c r="X185" s="90" t="str">
        <f t="shared" si="171"/>
        <v xml:space="preserve"> </v>
      </c>
      <c r="Y185" s="91">
        <f t="shared" si="204"/>
        <v>-50.88121959517588</v>
      </c>
      <c r="Z185" s="90">
        <f>IF(P185-SUM(AB$5:AB185)+1&gt;0,IF(Podsumowanie!E$7&lt;B185,IF(SUM(AB$5:AB185)-Podsumowanie!E$9+1&gt;0,PMT(M185/12,P185+1-SUM(AB$5:AB185),N185),Y185),0),0)</f>
        <v>-563.3279938145835</v>
      </c>
      <c r="AA185" s="90">
        <f t="shared" si="197"/>
        <v>-512.4467742194076</v>
      </c>
      <c r="AB185" s="8">
        <f>IF(AND(Podsumowanie!E$7&lt;B185,SUM(AB$5:AB184)&lt;P184),1," ")</f>
        <v>1</v>
      </c>
      <c r="AD185" s="10">
        <f>Podsumowanie!E$4-SUM(AF$5:AF184)+SUM(W$42:W185)-SUM(X$42:X185)</f>
        <v>124273.04813555226</v>
      </c>
      <c r="AE185" s="10">
        <f t="shared" si="205"/>
        <v>47.64</v>
      </c>
      <c r="AF185" s="10">
        <f t="shared" si="206"/>
        <v>505.17</v>
      </c>
      <c r="AG185" s="10">
        <f t="shared" si="198"/>
        <v>552.8100000000001</v>
      </c>
      <c r="AH185" s="10">
        <f t="shared" si="172"/>
        <v>2322.67</v>
      </c>
      <c r="AI185" s="10">
        <f>Podsumowanie!E$2-SUM(AK$5:AK184)+SUM(R$42:R185)-SUM(S$42:S185)</f>
        <v>274094.4299999998</v>
      </c>
      <c r="AJ185" s="10">
        <f t="shared" si="207"/>
        <v>105.07</v>
      </c>
      <c r="AK185" s="10">
        <f t="shared" si="208"/>
        <v>1114.21</v>
      </c>
      <c r="AL185" s="10">
        <f t="shared" si="199"/>
        <v>1219.28</v>
      </c>
      <c r="AM185" s="10">
        <f t="shared" si="200"/>
        <v>1103.39</v>
      </c>
      <c r="AO185" s="43">
        <f t="shared" si="173"/>
        <v>42736</v>
      </c>
      <c r="AP185" s="11">
        <f>AP$5+SUM(AS$5:AS184)-SUM(X$5:X185)+SUM(W$5:W185)</f>
        <v>128751.60784518415</v>
      </c>
      <c r="AQ185" s="10">
        <f t="shared" si="209"/>
        <v>-49.354783007320584</v>
      </c>
      <c r="AR185" s="10">
        <f>IF(AB185=1,IF(Q185="tak",AQ185,PMT(M185/12,P185+1-SUM(AB$5:AB185),AP185)),0)</f>
        <v>-546.4281540001458</v>
      </c>
      <c r="AS185" s="10">
        <f t="shared" si="183"/>
        <v>-497.07337099282523</v>
      </c>
      <c r="AT185" s="10">
        <f t="shared" si="184"/>
        <v>-2228.989725797395</v>
      </c>
      <c r="AV185" s="11">
        <f>AV$5+SUM(AX$5:AX184)+SUM(W$5:W184)-SUM(X$5:X184)</f>
        <v>120544.70719148575</v>
      </c>
      <c r="AW185" s="11">
        <f t="shared" si="210"/>
        <v>-49.354783007320584</v>
      </c>
      <c r="AX185" s="11">
        <f t="shared" si="211"/>
        <v>-490.02</v>
      </c>
      <c r="AY185" s="11">
        <f t="shared" si="212"/>
        <v>-539.3747830073206</v>
      </c>
      <c r="AZ185" s="11">
        <f t="shared" si="174"/>
        <v>-2200.2176148434623</v>
      </c>
      <c r="BB185" s="191">
        <f t="shared" si="144"/>
        <v>0.0173</v>
      </c>
      <c r="BC185" s="44">
        <f>BB185+Podsumowanie!$E$6</f>
        <v>0.0293</v>
      </c>
      <c r="BD185" s="11">
        <f>BD$5+SUM(BE$5:BE184)+SUM(R$5:R184)-SUM(S$5:S184)</f>
        <v>328359.37039641576</v>
      </c>
      <c r="BE185" s="10">
        <f t="shared" si="201"/>
        <v>-970.143772998827</v>
      </c>
      <c r="BF185" s="10">
        <f t="shared" si="202"/>
        <v>-801.7441293845818</v>
      </c>
      <c r="BG185" s="10">
        <f>IF(U185&lt;0,PMT(BC185/12,Podsumowanie!E$8-SUM(AB$5:AB185)+1,BD185),0)</f>
        <v>-1771.8879023834088</v>
      </c>
      <c r="BI185" s="11">
        <f>BI$5+SUM(BK$5:BK184)+SUM(R$5:R184)-SUM(S$5:S184)</f>
        <v>274094.7075208911</v>
      </c>
      <c r="BJ185" s="11">
        <f t="shared" si="213"/>
        <v>-669.2479108635091</v>
      </c>
      <c r="BK185" s="11">
        <f t="shared" si="214"/>
        <v>-1114.2061281337037</v>
      </c>
      <c r="BL185" s="11">
        <f t="shared" si="188"/>
        <v>-1783.4540389972128</v>
      </c>
      <c r="BN185" s="44">
        <f t="shared" si="145"/>
        <v>0.0294</v>
      </c>
      <c r="BO185" s="11">
        <f>BO$5+SUM(BP$5:BP184)+SUM(R$5:R184)-SUM(S$5:S184)+SUM(BS$5:BS184)</f>
        <v>348691.64234487986</v>
      </c>
      <c r="BP185" s="10">
        <f t="shared" si="154"/>
        <v>-1029.0573773447682</v>
      </c>
      <c r="BQ185" s="10">
        <f t="shared" si="155"/>
        <v>-854.2945237449557</v>
      </c>
      <c r="BR185" s="10">
        <f>IF(U185&lt;0,PMT(BN185/12,Podsumowanie!E$8-SUM(AB$5:AB185)+1,BO185),0)</f>
        <v>-1883.3519010897237</v>
      </c>
      <c r="BS185" s="10">
        <f t="shared" si="149"/>
        <v>-483.51347784977884</v>
      </c>
      <c r="BU185" s="11">
        <f>BU$5+SUM(BW$5:BW184)+SUM(R$5:R184)-SUM(S$5:S184)+SUM(BY$5,BY184)</f>
        <v>273385.29853396927</v>
      </c>
      <c r="BV185" s="10">
        <f t="shared" si="146"/>
        <v>-669.7939814082247</v>
      </c>
      <c r="BW185" s="10">
        <f t="shared" si="147"/>
        <v>-1111.3223517641027</v>
      </c>
      <c r="BX185" s="10">
        <f t="shared" si="156"/>
        <v>-1781.1163331723274</v>
      </c>
      <c r="BY185" s="10">
        <f t="shared" si="157"/>
        <v>-585.7490457671752</v>
      </c>
      <c r="CA185" s="10">
        <f>CA$5+SUM(CB$5:CB184)+SUM(R$5:R184)-SUM(S$5:S184)-SUM(CC$5:CC184)</f>
        <v>325011.52982931136</v>
      </c>
      <c r="CB185" s="10">
        <f t="shared" si="150"/>
        <v>669.7939814082247</v>
      </c>
      <c r="CC185" s="10">
        <f t="shared" si="151"/>
        <v>2366.8653789395025</v>
      </c>
      <c r="CD185" s="10">
        <f t="shared" si="152"/>
        <v>1697.0713975312779</v>
      </c>
      <c r="CF185" s="44">
        <f t="shared" si="148"/>
        <v>0.4555</v>
      </c>
      <c r="CG185" s="10">
        <f t="shared" si="153"/>
        <v>-1078.11</v>
      </c>
      <c r="CH185" s="4">
        <f t="shared" si="158"/>
        <v>0</v>
      </c>
    </row>
    <row r="186" spans="1:86" ht="15.75">
      <c r="A186" s="36"/>
      <c r="B186" s="37">
        <v>42767</v>
      </c>
      <c r="C186" s="77">
        <f t="shared" si="142"/>
        <v>4.0424</v>
      </c>
      <c r="D186" s="79">
        <f>C186*(1+Podsumowanie!E$11)</f>
        <v>4.163672</v>
      </c>
      <c r="E186" s="34">
        <f aca="true" t="shared" si="215" ref="E186:E193">Z186</f>
        <v>-563.3279938145835</v>
      </c>
      <c r="F186" s="7">
        <f aca="true" t="shared" si="216" ref="F186:F193">E186*D186</f>
        <v>-2345.5129946619545</v>
      </c>
      <c r="G186" s="7">
        <f aca="true" t="shared" si="217" ref="G186:G193">U186</f>
        <v>-1242.4683365655314</v>
      </c>
      <c r="H186" s="7">
        <f aca="true" t="shared" si="218" ref="H186:H193">G186-F186</f>
        <v>1103.044658096423</v>
      </c>
      <c r="I186" s="32"/>
      <c r="K186" s="4">
        <f>IF(B186&lt;Podsumowanie!E$7,0,K185+1)</f>
        <v>116</v>
      </c>
      <c r="L186" s="100">
        <f t="shared" si="143"/>
        <v>-0.0074</v>
      </c>
      <c r="M186" s="38">
        <f>L186+Podsumowanie!E$6</f>
        <v>0.0046</v>
      </c>
      <c r="N186" s="101">
        <f>MAX(Podsumowanie!E$4+SUM(AA$5:AA185)-SUM(X$5:X186)+SUM(W$5:W186),0)</f>
        <v>132221.16956102202</v>
      </c>
      <c r="O186" s="102">
        <f>MAX(Podsumowanie!E$2+SUM(V$5:V185)-SUM(S$5:S186)+SUM(R$5:R186),0)</f>
        <v>291625.1604874162</v>
      </c>
      <c r="P186" s="39">
        <f t="shared" si="189"/>
        <v>360</v>
      </c>
      <c r="Q186" s="40" t="str">
        <f>IF(AND(K186&gt;0,K186&lt;=Podsumowanie!E$9),"tak","nie")</f>
        <v>nie</v>
      </c>
      <c r="R186" s="41"/>
      <c r="S186" s="42"/>
      <c r="T186" s="88">
        <f t="shared" si="203"/>
        <v>-111.78964485350953</v>
      </c>
      <c r="U186" s="89">
        <f>IF(Q186="tak",T186,IF(P186-SUM(AB$5:AB186)+1&gt;0,IF(Podsumowanie!E$7&lt;B186,IF(SUM(AB$5:AB186)-Podsumowanie!E$9+1&gt;0,PMT(M186/12,P186+1-SUM(AB$5:AB186),O186),T186),0),0))</f>
        <v>-1242.4683365655314</v>
      </c>
      <c r="V186" s="89">
        <f aca="true" t="shared" si="219" ref="V186:V193">U186-T186</f>
        <v>-1130.6786917120219</v>
      </c>
      <c r="W186" s="90" t="str">
        <f>IF(R186&gt;0,R186/(C186*(1-Podsumowanie!E$11))," ")</f>
        <v xml:space="preserve"> </v>
      </c>
      <c r="X186" s="90" t="str">
        <f t="shared" si="171"/>
        <v xml:space="preserve"> </v>
      </c>
      <c r="Y186" s="91">
        <f t="shared" si="204"/>
        <v>-50.68478166505844</v>
      </c>
      <c r="Z186" s="90">
        <f>IF(P186-SUM(AB$5:AB186)+1&gt;0,IF(Podsumowanie!E$7&lt;B186,IF(SUM(AB$5:AB186)-Podsumowanie!E$9+1&gt;0,PMT(M186/12,P186+1-SUM(AB$5:AB186),N186),Y186),0),0)</f>
        <v>-563.3279938145835</v>
      </c>
      <c r="AA186" s="90">
        <f aca="true" t="shared" si="220" ref="AA186:AA193">Z186-Y186</f>
        <v>-512.643212149525</v>
      </c>
      <c r="AB186" s="8">
        <f>IF(AND(Podsumowanie!E$7&lt;B186,SUM(AB$5:AB185)&lt;P185),1," ")</f>
        <v>1</v>
      </c>
      <c r="AD186" s="10">
        <f>Podsumowanie!E$4-SUM(AF$5:AF185)+SUM(W$42:W186)-SUM(X$42:X186)</f>
        <v>123767.87813555225</v>
      </c>
      <c r="AE186" s="10">
        <f t="shared" si="205"/>
        <v>47.44</v>
      </c>
      <c r="AF186" s="10">
        <f t="shared" si="206"/>
        <v>505.18</v>
      </c>
      <c r="AG186" s="10">
        <f aca="true" t="shared" si="221" ref="AG186:AG193">AF186+AE186</f>
        <v>552.62</v>
      </c>
      <c r="AH186" s="10">
        <f t="shared" si="172"/>
        <v>2300.93</v>
      </c>
      <c r="AI186" s="10">
        <f>Podsumowanie!E$2-SUM(AK$5:AK185)+SUM(R$42:R186)-SUM(S$42:S186)</f>
        <v>272980.21999999986</v>
      </c>
      <c r="AJ186" s="10">
        <f t="shared" si="207"/>
        <v>104.64</v>
      </c>
      <c r="AK186" s="10">
        <f t="shared" si="208"/>
        <v>1114.2</v>
      </c>
      <c r="AL186" s="10">
        <f aca="true" t="shared" si="222" ref="AL186:AL193">AK186+AJ186</f>
        <v>1218.8400000000001</v>
      </c>
      <c r="AM186" s="10">
        <f aca="true" t="shared" si="223" ref="AM186:AM193">AH186-AL186</f>
        <v>1082.0899999999997</v>
      </c>
      <c r="AO186" s="43">
        <f t="shared" si="173"/>
        <v>42767</v>
      </c>
      <c r="AP186" s="11">
        <f>AP$5+SUM(AS$5:AS185)-SUM(X$5:X186)+SUM(W$5:W186)</f>
        <v>128254.53447419131</v>
      </c>
      <c r="AQ186" s="10">
        <f t="shared" si="209"/>
        <v>-49.16423821510667</v>
      </c>
      <c r="AR186" s="10">
        <f>IF(AB186=1,IF(Q186="tak",AQ186,PMT(M186/12,P186+1-SUM(AB$5:AB186),AP186)),0)</f>
        <v>-546.4281540001458</v>
      </c>
      <c r="AS186" s="10">
        <f t="shared" si="183"/>
        <v>-497.26391578503916</v>
      </c>
      <c r="AT186" s="10">
        <f t="shared" si="184"/>
        <v>-2208.8811697301894</v>
      </c>
      <c r="AV186" s="11">
        <f>AV$5+SUM(AX$5:AX185)+SUM(W$5:W185)-SUM(X$5:X185)</f>
        <v>120054.68719148575</v>
      </c>
      <c r="AW186" s="11">
        <f t="shared" si="210"/>
        <v>-49.16423821510667</v>
      </c>
      <c r="AX186" s="11">
        <f t="shared" si="211"/>
        <v>-490.02</v>
      </c>
      <c r="AY186" s="11">
        <f t="shared" si="212"/>
        <v>-539.1842382151067</v>
      </c>
      <c r="AZ186" s="11">
        <f t="shared" si="174"/>
        <v>-2179.598364560747</v>
      </c>
      <c r="BB186" s="191">
        <f t="shared" si="144"/>
        <v>0.0173</v>
      </c>
      <c r="BC186" s="44">
        <f>BB186+Podsumowanie!$E$6</f>
        <v>0.0293</v>
      </c>
      <c r="BD186" s="11">
        <f>BD$5+SUM(BE$5:BE185)+SUM(R$5:R185)-SUM(S$5:S185)</f>
        <v>327389.22662341694</v>
      </c>
      <c r="BE186" s="10">
        <f aca="true" t="shared" si="224" ref="BE186:BE193">IF(BG186&lt;0,BG186-BF186,0)</f>
        <v>-972.5125407112324</v>
      </c>
      <c r="BF186" s="10">
        <f aca="true" t="shared" si="225" ref="BF186:BF193">IF(BG186&lt;0,-BD186*BC186/12,0)</f>
        <v>-799.3753616721764</v>
      </c>
      <c r="BG186" s="10">
        <f>IF(U186&lt;0,PMT(BC186/12,Podsumowanie!E$8-SUM(AB$5:AB186)+1,BD186),0)</f>
        <v>-1771.8879023834088</v>
      </c>
      <c r="BI186" s="11">
        <f>BI$5+SUM(BK$5:BK185)+SUM(R$5:R185)-SUM(S$5:S185)</f>
        <v>272980.5013927574</v>
      </c>
      <c r="BJ186" s="11">
        <f t="shared" si="213"/>
        <v>-666.5273909006493</v>
      </c>
      <c r="BK186" s="11">
        <f t="shared" si="214"/>
        <v>-1114.2061281337037</v>
      </c>
      <c r="BL186" s="11">
        <f t="shared" si="188"/>
        <v>-1780.7335190343529</v>
      </c>
      <c r="BN186" s="44">
        <f t="shared" si="145"/>
        <v>0.0294</v>
      </c>
      <c r="BO186" s="11">
        <f>BO$5+SUM(BP$5:BP185)+SUM(R$5:R185)-SUM(S$5:S185)+SUM(BS$5:BS185)</f>
        <v>347179.07148968533</v>
      </c>
      <c r="BP186" s="10">
        <f t="shared" si="154"/>
        <v>-1030.1438948695395</v>
      </c>
      <c r="BQ186" s="10">
        <f t="shared" si="155"/>
        <v>-850.5887251497289</v>
      </c>
      <c r="BR186" s="10">
        <f>IF(U186&lt;0,PMT(BN186/12,Podsumowanie!E$8-SUM(AB$5:AB186)+1,BO186),0)</f>
        <v>-1880.7326200192683</v>
      </c>
      <c r="BS186" s="10">
        <f t="shared" si="149"/>
        <v>-464.7803746426862</v>
      </c>
      <c r="BU186" s="11">
        <f>BU$5+SUM(BW$5:BW185)+SUM(R$5:R185)-SUM(S$5:S185)+SUM(BY$5,BY185)</f>
        <v>272297.963483822</v>
      </c>
      <c r="BV186" s="10">
        <f t="shared" si="146"/>
        <v>-667.1300105353639</v>
      </c>
      <c r="BW186" s="10">
        <f t="shared" si="147"/>
        <v>-1111.4202591176409</v>
      </c>
      <c r="BX186" s="10">
        <f t="shared" si="156"/>
        <v>-1778.5502696530048</v>
      </c>
      <c r="BY186" s="10">
        <f t="shared" si="157"/>
        <v>-566.9627250089497</v>
      </c>
      <c r="CA186" s="10">
        <f>CA$5+SUM(CB$5:CB185)+SUM(R$5:R185)-SUM(S$5:S185)-SUM(CC$5:CC185)</f>
        <v>323314.4584317801</v>
      </c>
      <c r="CB186" s="10">
        <f t="shared" si="150"/>
        <v>667.1300105353639</v>
      </c>
      <c r="CC186" s="10">
        <f t="shared" si="151"/>
        <v>2345.5129946619545</v>
      </c>
      <c r="CD186" s="10">
        <f t="shared" si="152"/>
        <v>1678.3829841265906</v>
      </c>
      <c r="CF186" s="44">
        <f t="shared" si="148"/>
        <v>0.4512</v>
      </c>
      <c r="CG186" s="10">
        <f t="shared" si="153"/>
        <v>-1058.3</v>
      </c>
      <c r="CH186" s="4">
        <f t="shared" si="158"/>
        <v>0</v>
      </c>
    </row>
    <row r="187" spans="1:86" ht="15.75">
      <c r="A187" s="36"/>
      <c r="B187" s="37">
        <v>42795</v>
      </c>
      <c r="C187" s="77">
        <f t="shared" si="142"/>
        <v>4.0088</v>
      </c>
      <c r="D187" s="79">
        <f>C187*(1+Podsumowanie!E$11)</f>
        <v>4.129064</v>
      </c>
      <c r="E187" s="34">
        <f t="shared" si="215"/>
        <v>-563.3279938145835</v>
      </c>
      <c r="F187" s="7">
        <f t="shared" si="216"/>
        <v>-2326.017339452019</v>
      </c>
      <c r="G187" s="7">
        <f t="shared" si="217"/>
        <v>-1242.4683365655314</v>
      </c>
      <c r="H187" s="7">
        <f t="shared" si="218"/>
        <v>1083.5490028864874</v>
      </c>
      <c r="I187" s="32"/>
      <c r="K187" s="4">
        <f>IF(B187&lt;Podsumowanie!E$7,0,K186+1)</f>
        <v>117</v>
      </c>
      <c r="L187" s="100">
        <f t="shared" si="143"/>
        <v>-0.0074</v>
      </c>
      <c r="M187" s="38">
        <f>L187+Podsumowanie!E$6</f>
        <v>0.0046</v>
      </c>
      <c r="N187" s="101">
        <f>MAX(Podsumowanie!E$4+SUM(AA$5:AA186)-SUM(X$5:X187)+SUM(W$5:W187),0)</f>
        <v>131708.5263488725</v>
      </c>
      <c r="O187" s="102">
        <f>MAX(Podsumowanie!E$2+SUM(V$5:V186)-SUM(S$5:S187)+SUM(R$5:R187),0)</f>
        <v>290494.48179570417</v>
      </c>
      <c r="P187" s="39">
        <f t="shared" si="189"/>
        <v>360</v>
      </c>
      <c r="Q187" s="40" t="str">
        <f>IF(AND(K187&gt;0,K187&lt;=Podsumowanie!E$9),"tak","nie")</f>
        <v>nie</v>
      </c>
      <c r="R187" s="41"/>
      <c r="S187" s="42"/>
      <c r="T187" s="88">
        <f t="shared" si="203"/>
        <v>-111.35621802168659</v>
      </c>
      <c r="U187" s="89">
        <f>IF(Q187="tak",T187,IF(P187-SUM(AB$5:AB187)+1&gt;0,IF(Podsumowanie!E$7&lt;B187,IF(SUM(AB$5:AB187)-Podsumowanie!E$9+1&gt;0,PMT(M187/12,P187+1-SUM(AB$5:AB187),O187),T187),0),0))</f>
        <v>-1242.4683365655314</v>
      </c>
      <c r="V187" s="89">
        <f t="shared" si="219"/>
        <v>-1131.1121185438449</v>
      </c>
      <c r="W187" s="90" t="str">
        <f>IF(R187&gt;0,R187/(C187*(1-Podsumowanie!E$11))," ")</f>
        <v xml:space="preserve"> </v>
      </c>
      <c r="X187" s="90" t="str">
        <f t="shared" si="171"/>
        <v xml:space="preserve"> </v>
      </c>
      <c r="Y187" s="91">
        <f t="shared" si="204"/>
        <v>-50.488268433734454</v>
      </c>
      <c r="Z187" s="90">
        <f>IF(P187-SUM(AB$5:AB187)+1&gt;0,IF(Podsumowanie!E$7&lt;B187,IF(SUM(AB$5:AB187)-Podsumowanie!E$9+1&gt;0,PMT(M187/12,P187+1-SUM(AB$5:AB187),N187),Y187),0),0)</f>
        <v>-563.3279938145835</v>
      </c>
      <c r="AA187" s="90">
        <f t="shared" si="220"/>
        <v>-512.839725380849</v>
      </c>
      <c r="AB187" s="8">
        <f>IF(AND(Podsumowanie!E$7&lt;B187,SUM(AB$5:AB186)&lt;P186),1," ")</f>
        <v>1</v>
      </c>
      <c r="AD187" s="10">
        <f>Podsumowanie!E$4-SUM(AF$5:AF186)+SUM(W$42:W187)-SUM(X$42:X187)</f>
        <v>123262.69813555226</v>
      </c>
      <c r="AE187" s="10">
        <f t="shared" si="205"/>
        <v>47.25</v>
      </c>
      <c r="AF187" s="10">
        <f t="shared" si="206"/>
        <v>505.17</v>
      </c>
      <c r="AG187" s="10">
        <f t="shared" si="221"/>
        <v>552.4200000000001</v>
      </c>
      <c r="AH187" s="10">
        <f t="shared" si="172"/>
        <v>2280.98</v>
      </c>
      <c r="AI187" s="10">
        <f>Podsumowanie!E$2-SUM(AK$5:AK186)+SUM(R$42:R187)-SUM(S$42:S187)</f>
        <v>271866.01999999984</v>
      </c>
      <c r="AJ187" s="10">
        <f t="shared" si="207"/>
        <v>104.22</v>
      </c>
      <c r="AK187" s="10">
        <f t="shared" si="208"/>
        <v>1114.21</v>
      </c>
      <c r="AL187" s="10">
        <f t="shared" si="222"/>
        <v>1218.43</v>
      </c>
      <c r="AM187" s="10">
        <f t="shared" si="223"/>
        <v>1062.55</v>
      </c>
      <c r="AO187" s="43">
        <f t="shared" si="173"/>
        <v>42795</v>
      </c>
      <c r="AP187" s="11">
        <f>AP$5+SUM(AS$5:AS186)-SUM(X$5:X187)+SUM(W$5:W187)</f>
        <v>127757.27055840628</v>
      </c>
      <c r="AQ187" s="10">
        <f t="shared" si="209"/>
        <v>-48.9736203807224</v>
      </c>
      <c r="AR187" s="10">
        <f>IF(AB187=1,IF(Q187="tak",AQ187,PMT(M187/12,P187+1-SUM(AB$5:AB187),AP187)),0)</f>
        <v>-546.4281540001458</v>
      </c>
      <c r="AS187" s="10">
        <f t="shared" si="183"/>
        <v>-497.4545336194234</v>
      </c>
      <c r="AT187" s="10">
        <f t="shared" si="184"/>
        <v>-2190.5211837557845</v>
      </c>
      <c r="AV187" s="11">
        <f>AV$5+SUM(AX$5:AX186)+SUM(W$5:W186)-SUM(X$5:X186)</f>
        <v>119564.66719148576</v>
      </c>
      <c r="AW187" s="11">
        <f t="shared" si="210"/>
        <v>-48.9736203807224</v>
      </c>
      <c r="AX187" s="11">
        <f t="shared" si="211"/>
        <v>-490.02</v>
      </c>
      <c r="AY187" s="11">
        <f t="shared" si="212"/>
        <v>-538.9936203807224</v>
      </c>
      <c r="AZ187" s="11">
        <f t="shared" si="174"/>
        <v>-2160.71762538224</v>
      </c>
      <c r="BB187" s="191">
        <f t="shared" si="144"/>
        <v>0.0173</v>
      </c>
      <c r="BC187" s="44">
        <f>BB187+Podsumowanie!$E$6</f>
        <v>0.0293</v>
      </c>
      <c r="BD187" s="11">
        <f>BD$5+SUM(BE$5:BE186)+SUM(R$5:R186)-SUM(S$5:S186)</f>
        <v>326416.7140827057</v>
      </c>
      <c r="BE187" s="10">
        <f t="shared" si="224"/>
        <v>-974.8870921648025</v>
      </c>
      <c r="BF187" s="10">
        <f t="shared" si="225"/>
        <v>-797.0008102186063</v>
      </c>
      <c r="BG187" s="10">
        <f>IF(U187&lt;0,PMT(BC187/12,Podsumowanie!E$8-SUM(AB$5:AB187)+1,BD187),0)</f>
        <v>-1771.8879023834088</v>
      </c>
      <c r="BI187" s="11">
        <f>BI$5+SUM(BK$5:BK186)+SUM(R$5:R186)-SUM(S$5:S186)</f>
        <v>271866.2952646237</v>
      </c>
      <c r="BJ187" s="11">
        <f t="shared" si="213"/>
        <v>-663.8068709377895</v>
      </c>
      <c r="BK187" s="11">
        <f t="shared" si="214"/>
        <v>-1114.2061281337037</v>
      </c>
      <c r="BL187" s="11">
        <f t="shared" si="188"/>
        <v>-1778.0129990714931</v>
      </c>
      <c r="BN187" s="44">
        <f t="shared" si="145"/>
        <v>0.0294</v>
      </c>
      <c r="BO187" s="11">
        <f>BO$5+SUM(BP$5:BP186)+SUM(R$5:R186)-SUM(S$5:S186)+SUM(BS$5:BS186)</f>
        <v>345684.14722017315</v>
      </c>
      <c r="BP187" s="10">
        <f t="shared" si="154"/>
        <v>-1031.2811659025067</v>
      </c>
      <c r="BQ187" s="10">
        <f t="shared" si="155"/>
        <v>-846.9261606894243</v>
      </c>
      <c r="BR187" s="10">
        <f>IF(U187&lt;0,PMT(BN187/12,Podsumowanie!E$8-SUM(AB$5:AB187)+1,BO187),0)</f>
        <v>-1878.207326591931</v>
      </c>
      <c r="BS187" s="10">
        <f t="shared" si="149"/>
        <v>-447.8100128600879</v>
      </c>
      <c r="BU187" s="11">
        <f>BU$5+SUM(BW$5:BW186)+SUM(R$5:R186)-SUM(S$5:S186)+SUM(BY$5,BY186)</f>
        <v>271205.3295454626</v>
      </c>
      <c r="BV187" s="10">
        <f t="shared" si="146"/>
        <v>-664.4530573863834</v>
      </c>
      <c r="BW187" s="10">
        <f t="shared" si="147"/>
        <v>-1111.4972522355026</v>
      </c>
      <c r="BX187" s="10">
        <f t="shared" si="156"/>
        <v>-1775.950309621886</v>
      </c>
      <c r="BY187" s="10">
        <f t="shared" si="157"/>
        <v>-550.0670298301329</v>
      </c>
      <c r="CA187" s="10">
        <f>CA$5+SUM(CB$5:CB186)+SUM(R$5:R186)-SUM(S$5:S186)-SUM(CC$5:CC186)</f>
        <v>321636.07544765354</v>
      </c>
      <c r="CB187" s="10">
        <f t="shared" si="150"/>
        <v>664.4530573863834</v>
      </c>
      <c r="CC187" s="10">
        <f t="shared" si="151"/>
        <v>2326.017339452019</v>
      </c>
      <c r="CD187" s="10">
        <f t="shared" si="152"/>
        <v>1661.5642820656353</v>
      </c>
      <c r="CF187" s="44">
        <f t="shared" si="148"/>
        <v>0.4526</v>
      </c>
      <c r="CG187" s="10">
        <f t="shared" si="153"/>
        <v>-1052.76</v>
      </c>
      <c r="CH187" s="4">
        <f t="shared" si="158"/>
        <v>0</v>
      </c>
    </row>
    <row r="188" spans="1:86" ht="15.75">
      <c r="A188" s="36"/>
      <c r="B188" s="37">
        <v>42826</v>
      </c>
      <c r="C188" s="77">
        <f t="shared" si="142"/>
        <v>3.9534</v>
      </c>
      <c r="D188" s="79">
        <f>C188*(1+Podsumowanie!E$11)</f>
        <v>4.072002</v>
      </c>
      <c r="E188" s="34">
        <f t="shared" si="215"/>
        <v>-563.3279938145834</v>
      </c>
      <c r="F188" s="7">
        <f t="shared" si="216"/>
        <v>-2293.872717468971</v>
      </c>
      <c r="G188" s="7">
        <f t="shared" si="217"/>
        <v>-1242.468336565531</v>
      </c>
      <c r="H188" s="7">
        <f t="shared" si="218"/>
        <v>1051.4043809034401</v>
      </c>
      <c r="I188" s="32"/>
      <c r="K188" s="4">
        <f>IF(B188&lt;Podsumowanie!E$7,0,K187+1)</f>
        <v>118</v>
      </c>
      <c r="L188" s="100">
        <f t="shared" si="143"/>
        <v>-0.0074</v>
      </c>
      <c r="M188" s="38">
        <f>L188+Podsumowanie!E$6</f>
        <v>0.0046</v>
      </c>
      <c r="N188" s="101">
        <f>MAX(Podsumowanie!E$4+SUM(AA$5:AA187)-SUM(X$5:X188)+SUM(W$5:W188),0)</f>
        <v>131195.68662349164</v>
      </c>
      <c r="O188" s="102">
        <f>MAX(Podsumowanie!E$2+SUM(V$5:V187)-SUM(S$5:S188)+SUM(R$5:R188),0)</f>
        <v>289363.3696771603</v>
      </c>
      <c r="P188" s="39">
        <f t="shared" si="189"/>
        <v>360</v>
      </c>
      <c r="Q188" s="40" t="str">
        <f>IF(AND(K188&gt;0,K188&lt;=Podsumowanie!E$9),"tak","nie")</f>
        <v>nie</v>
      </c>
      <c r="R188" s="41"/>
      <c r="S188" s="42"/>
      <c r="T188" s="88">
        <f aca="true" t="shared" si="226" ref="T188:T193">IF(AB188=1,-O188*M188/12,0)</f>
        <v>-110.92262504291143</v>
      </c>
      <c r="U188" s="89">
        <f>IF(Q188="tak",T188,IF(P188-SUM(AB$5:AB188)+1&gt;0,IF(Podsumowanie!E$7&lt;B188,IF(SUM(AB$5:AB188)-Podsumowanie!E$9+1&gt;0,PMT(M188/12,P188+1-SUM(AB$5:AB188),O188),T188),0),0))</f>
        <v>-1242.468336565531</v>
      </c>
      <c r="V188" s="89">
        <f t="shared" si="219"/>
        <v>-1131.5457115226195</v>
      </c>
      <c r="W188" s="90" t="str">
        <f>IF(R188&gt;0,R188/(C188*(1-Podsumowanie!E$11))," ")</f>
        <v xml:space="preserve"> </v>
      </c>
      <c r="X188" s="90" t="str">
        <f t="shared" si="171"/>
        <v xml:space="preserve"> </v>
      </c>
      <c r="Y188" s="91">
        <f aca="true" t="shared" si="227" ref="Y188:Y193">IF(AB188=1,-N188*M188/12,0)</f>
        <v>-50.291679872338456</v>
      </c>
      <c r="Z188" s="90">
        <f>IF(P188-SUM(AB$5:AB188)+1&gt;0,IF(Podsumowanie!E$7&lt;B188,IF(SUM(AB$5:AB188)-Podsumowanie!E$9+1&gt;0,PMT(M188/12,P188+1-SUM(AB$5:AB188),N188),Y188),0),0)</f>
        <v>-563.3279938145834</v>
      </c>
      <c r="AA188" s="90">
        <f t="shared" si="220"/>
        <v>-513.0363139422449</v>
      </c>
      <c r="AB188" s="8">
        <f>IF(AND(Podsumowanie!E$7&lt;B188,SUM(AB$5:AB187)&lt;P187),1," ")</f>
        <v>1</v>
      </c>
      <c r="AD188" s="10">
        <f>Podsumowanie!E$4-SUM(AF$5:AF187)+SUM(W$42:W188)-SUM(X$42:X188)</f>
        <v>122757.52813555226</v>
      </c>
      <c r="AE188" s="10">
        <f aca="true" t="shared" si="228" ref="AE188:AE193">IF(AB188=1,ROUND(AD188*M188/12,2),0)</f>
        <v>47.06</v>
      </c>
      <c r="AF188" s="10">
        <f aca="true" t="shared" si="229" ref="AF188:AF193">IF(Q188="tak",0,IF(AB188=1,ROUND(AD188/(P188-K188+1),2),0))</f>
        <v>505.18</v>
      </c>
      <c r="AG188" s="10">
        <f t="shared" si="221"/>
        <v>552.24</v>
      </c>
      <c r="AH188" s="10">
        <f t="shared" si="172"/>
        <v>2248.72</v>
      </c>
      <c r="AI188" s="10">
        <f>Podsumowanie!E$2-SUM(AK$5:AK187)+SUM(R$42:R188)-SUM(S$42:S188)</f>
        <v>270751.8099999998</v>
      </c>
      <c r="AJ188" s="10">
        <f aca="true" t="shared" si="230" ref="AJ188:AJ193">IF(AB188=1,ROUND(AI188*M188/12,2),0)</f>
        <v>103.79</v>
      </c>
      <c r="AK188" s="10">
        <f aca="true" t="shared" si="231" ref="AK188:AK193">IF(Q188="tak",0,IF(AB188=1,ROUND(AI188/(P188-K188+1),2),0))</f>
        <v>1114.2</v>
      </c>
      <c r="AL188" s="10">
        <f t="shared" si="222"/>
        <v>1217.99</v>
      </c>
      <c r="AM188" s="10">
        <f t="shared" si="223"/>
        <v>1030.7299999999998</v>
      </c>
      <c r="AO188" s="43">
        <f t="shared" si="173"/>
        <v>42826</v>
      </c>
      <c r="AP188" s="11">
        <f>AP$5+SUM(AS$5:AS187)-SUM(X$5:X188)+SUM(W$5:W188)</f>
        <v>127259.81602478685</v>
      </c>
      <c r="AQ188" s="10">
        <f aca="true" t="shared" si="232" ref="AQ188:AQ193">IF(AB188=1,-AP188*M188/12,0)</f>
        <v>-48.7829294761683</v>
      </c>
      <c r="AR188" s="10">
        <f>IF(AB188=1,IF(Q188="tak",AQ188,PMT(M188/12,P188+1-SUM(AB$5:AB188),AP188)),0)</f>
        <v>-546.4281540001457</v>
      </c>
      <c r="AS188" s="10">
        <f t="shared" si="183"/>
        <v>-497.6452245239774</v>
      </c>
      <c r="AT188" s="10">
        <f t="shared" si="184"/>
        <v>-2160.249064024176</v>
      </c>
      <c r="AV188" s="11">
        <f>AV$5+SUM(AX$5:AX187)+SUM(W$5:W187)-SUM(X$5:X187)</f>
        <v>119074.64719148577</v>
      </c>
      <c r="AW188" s="11">
        <f aca="true" t="shared" si="233" ref="AW188:AW193">IF(AB188=1,-AP188*M188/12,0)</f>
        <v>-48.7829294761683</v>
      </c>
      <c r="AX188" s="11">
        <f aca="true" t="shared" si="234" ref="AX188:AX193">IF(AB188=1,IF(Q188="tak",0,ROUND(-AV188/(P188-K188+1),2)),0)</f>
        <v>-490.02</v>
      </c>
      <c r="AY188" s="11">
        <f aca="true" t="shared" si="235" ref="AY188:AY193">AX188+AW188</f>
        <v>-538.8029294761683</v>
      </c>
      <c r="AZ188" s="11">
        <f t="shared" si="174"/>
        <v>-2130.1035013910837</v>
      </c>
      <c r="BB188" s="191">
        <f t="shared" si="144"/>
        <v>0.0173</v>
      </c>
      <c r="BC188" s="44">
        <f>BB188+Podsumowanie!$E$6</f>
        <v>0.0293</v>
      </c>
      <c r="BD188" s="11">
        <f>BD$5+SUM(BE$5:BE187)+SUM(R$5:R187)-SUM(S$5:S187)</f>
        <v>325441.8269905409</v>
      </c>
      <c r="BE188" s="10">
        <f t="shared" si="224"/>
        <v>-977.267441481505</v>
      </c>
      <c r="BF188" s="10">
        <f t="shared" si="225"/>
        <v>-794.620460901904</v>
      </c>
      <c r="BG188" s="10">
        <f>IF(U188&lt;0,PMT(BC188/12,Podsumowanie!E$8-SUM(AB$5:AB188)+1,BD188),0)</f>
        <v>-1771.887902383409</v>
      </c>
      <c r="BI188" s="11">
        <f>BI$5+SUM(BK$5:BK187)+SUM(R$5:R187)-SUM(S$5:S187)</f>
        <v>270752.08913649</v>
      </c>
      <c r="BJ188" s="11">
        <f t="shared" si="213"/>
        <v>-661.0863509749298</v>
      </c>
      <c r="BK188" s="11">
        <f t="shared" si="214"/>
        <v>-1114.2061281337037</v>
      </c>
      <c r="BL188" s="11">
        <f t="shared" si="188"/>
        <v>-1775.2924791086334</v>
      </c>
      <c r="BN188" s="44">
        <f t="shared" si="145"/>
        <v>0.0294</v>
      </c>
      <c r="BO188" s="11">
        <f>BO$5+SUM(BP$5:BP187)+SUM(R$5:R187)-SUM(S$5:S187)+SUM(BS$5:BS187)</f>
        <v>344205.05604141054</v>
      </c>
      <c r="BP188" s="10">
        <f t="shared" si="154"/>
        <v>-1032.4645706473702</v>
      </c>
      <c r="BQ188" s="10">
        <f t="shared" si="155"/>
        <v>-843.3023873014558</v>
      </c>
      <c r="BR188" s="10">
        <f>IF(U188&lt;0,PMT(BN188/12,Podsumowanie!E$8-SUM(AB$5:AB188)+1,BO188),0)</f>
        <v>-1875.766957948826</v>
      </c>
      <c r="BS188" s="10">
        <f t="shared" si="149"/>
        <v>-418.10575952014506</v>
      </c>
      <c r="BU188" s="11">
        <f>BU$5+SUM(BW$5:BW187)+SUM(R$5:R187)-SUM(S$5:S187)+SUM(BY$5,BY187)</f>
        <v>270110.7279884059</v>
      </c>
      <c r="BV188" s="10">
        <f t="shared" si="146"/>
        <v>-661.7712835715945</v>
      </c>
      <c r="BW188" s="10">
        <f t="shared" si="147"/>
        <v>-1111.5667818452919</v>
      </c>
      <c r="BX188" s="10">
        <f t="shared" si="156"/>
        <v>-1773.3380654168864</v>
      </c>
      <c r="BY188" s="10">
        <f t="shared" si="157"/>
        <v>-520.5346520520848</v>
      </c>
      <c r="CA188" s="10">
        <f>CA$5+SUM(CB$5:CB187)+SUM(R$5:R187)-SUM(S$5:S187)-SUM(CC$5:CC187)</f>
        <v>319974.51116558793</v>
      </c>
      <c r="CB188" s="10">
        <f t="shared" si="150"/>
        <v>661.7712835715945</v>
      </c>
      <c r="CC188" s="10">
        <f t="shared" si="151"/>
        <v>2293.872717468971</v>
      </c>
      <c r="CD188" s="10">
        <f t="shared" si="152"/>
        <v>1632.1014338973766</v>
      </c>
      <c r="CF188" s="44">
        <f t="shared" si="148"/>
        <v>0.4483</v>
      </c>
      <c r="CG188" s="10">
        <f t="shared" si="153"/>
        <v>-1028.34</v>
      </c>
      <c r="CH188" s="4">
        <f t="shared" si="158"/>
        <v>0</v>
      </c>
    </row>
    <row r="189" spans="1:86" ht="15.75">
      <c r="A189" s="36"/>
      <c r="B189" s="37">
        <v>42856</v>
      </c>
      <c r="C189" s="77">
        <f t="shared" si="142"/>
        <v>3.858</v>
      </c>
      <c r="D189" s="79">
        <f>C189*(1+Podsumowanie!E$11)</f>
        <v>3.9737400000000003</v>
      </c>
      <c r="E189" s="34">
        <f t="shared" si="215"/>
        <v>-563.3279938145834</v>
      </c>
      <c r="F189" s="7">
        <f t="shared" si="216"/>
        <v>-2238.5189821407625</v>
      </c>
      <c r="G189" s="7">
        <f t="shared" si="217"/>
        <v>-1242.4683365655314</v>
      </c>
      <c r="H189" s="7">
        <f t="shared" si="218"/>
        <v>996.0506455752311</v>
      </c>
      <c r="I189" s="32"/>
      <c r="K189" s="4">
        <f>IF(B189&lt;Podsumowanie!E$7,0,K188+1)</f>
        <v>119</v>
      </c>
      <c r="L189" s="100">
        <f t="shared" si="143"/>
        <v>-0.0074</v>
      </c>
      <c r="M189" s="38">
        <f>L189+Podsumowanie!E$6</f>
        <v>0.0046</v>
      </c>
      <c r="N189" s="101">
        <f>MAX(Podsumowanie!E$4+SUM(AA$5:AA188)-SUM(X$5:X189)+SUM(W$5:W189),0)</f>
        <v>130682.65030954938</v>
      </c>
      <c r="O189" s="102">
        <f>MAX(Podsumowanie!E$2+SUM(V$5:V188)-SUM(S$5:S189)+SUM(R$5:R189),0)</f>
        <v>288231.8239656377</v>
      </c>
      <c r="P189" s="39">
        <f t="shared" si="189"/>
        <v>360</v>
      </c>
      <c r="Q189" s="40" t="str">
        <f>IF(AND(K189&gt;0,K189&lt;=Podsumowanie!E$9),"tak","nie")</f>
        <v>nie</v>
      </c>
      <c r="R189" s="41"/>
      <c r="S189" s="42"/>
      <c r="T189" s="88">
        <f t="shared" si="226"/>
        <v>-110.48886585349446</v>
      </c>
      <c r="U189" s="89">
        <f>IF(Q189="tak",T189,IF(P189-SUM(AB$5:AB189)+1&gt;0,IF(Podsumowanie!E$7&lt;B189,IF(SUM(AB$5:AB189)-Podsumowanie!E$9+1&gt;0,PMT(M189/12,P189+1-SUM(AB$5:AB189),O189),T189),0),0))</f>
        <v>-1242.4683365655314</v>
      </c>
      <c r="V189" s="89">
        <f t="shared" si="219"/>
        <v>-1131.979470712037</v>
      </c>
      <c r="W189" s="90" t="str">
        <f>IF(R189&gt;0,R189/(C189*(1-Podsumowanie!E$11))," ")</f>
        <v xml:space="preserve"> </v>
      </c>
      <c r="X189" s="90" t="str">
        <f t="shared" si="171"/>
        <v xml:space="preserve"> </v>
      </c>
      <c r="Y189" s="91">
        <f t="shared" si="227"/>
        <v>-50.09501595199393</v>
      </c>
      <c r="Z189" s="90">
        <f>IF(P189-SUM(AB$5:AB189)+1&gt;0,IF(Podsumowanie!E$7&lt;B189,IF(SUM(AB$5:AB189)-Podsumowanie!E$9+1&gt;0,PMT(M189/12,P189+1-SUM(AB$5:AB189),N189),Y189),0),0)</f>
        <v>-563.3279938145834</v>
      </c>
      <c r="AA189" s="90">
        <f t="shared" si="220"/>
        <v>-513.2329778625895</v>
      </c>
      <c r="AB189" s="8">
        <f>IF(AND(Podsumowanie!E$7&lt;B189,SUM(AB$5:AB188)&lt;P188),1," ")</f>
        <v>1</v>
      </c>
      <c r="AD189" s="10">
        <f>Podsumowanie!E$4-SUM(AF$5:AF188)+SUM(W$42:W189)-SUM(X$42:X189)</f>
        <v>122252.34813555225</v>
      </c>
      <c r="AE189" s="10">
        <f t="shared" si="228"/>
        <v>46.86</v>
      </c>
      <c r="AF189" s="10">
        <f t="shared" si="229"/>
        <v>505.17</v>
      </c>
      <c r="AG189" s="10">
        <f t="shared" si="221"/>
        <v>552.03</v>
      </c>
      <c r="AH189" s="10">
        <f t="shared" si="172"/>
        <v>2193.62</v>
      </c>
      <c r="AI189" s="10">
        <f>Podsumowanie!E$2-SUM(AK$5:AK188)+SUM(R$42:R189)-SUM(S$42:S189)</f>
        <v>269637.60999999987</v>
      </c>
      <c r="AJ189" s="10">
        <f t="shared" si="230"/>
        <v>103.36</v>
      </c>
      <c r="AK189" s="10">
        <f t="shared" si="231"/>
        <v>1114.21</v>
      </c>
      <c r="AL189" s="10">
        <f t="shared" si="222"/>
        <v>1217.57</v>
      </c>
      <c r="AM189" s="10">
        <f t="shared" si="223"/>
        <v>976.05</v>
      </c>
      <c r="AO189" s="43">
        <f t="shared" si="173"/>
        <v>42856</v>
      </c>
      <c r="AP189" s="11">
        <f>AP$5+SUM(AS$5:AS188)-SUM(X$5:X189)+SUM(W$5:W189)</f>
        <v>126762.17080026289</v>
      </c>
      <c r="AQ189" s="10">
        <f t="shared" si="232"/>
        <v>-48.59216547343411</v>
      </c>
      <c r="AR189" s="10">
        <f>IF(AB189=1,IF(Q189="tak",AQ189,PMT(M189/12,P189+1-SUM(AB$5:AB189),AP189)),0)</f>
        <v>-546.4281540001458</v>
      </c>
      <c r="AS189" s="10">
        <f t="shared" si="183"/>
        <v>-497.83598852671173</v>
      </c>
      <c r="AT189" s="10">
        <f t="shared" si="184"/>
        <v>-2108.1198181325626</v>
      </c>
      <c r="AV189" s="11">
        <f>AV$5+SUM(AX$5:AX188)+SUM(W$5:W188)-SUM(X$5:X188)</f>
        <v>118584.62719148576</v>
      </c>
      <c r="AW189" s="11">
        <f t="shared" si="233"/>
        <v>-48.59216547343411</v>
      </c>
      <c r="AX189" s="11">
        <f t="shared" si="234"/>
        <v>-490.02</v>
      </c>
      <c r="AY189" s="11">
        <f t="shared" si="235"/>
        <v>-538.6121654734341</v>
      </c>
      <c r="AZ189" s="11">
        <f t="shared" si="174"/>
        <v>-2077.9657343965087</v>
      </c>
      <c r="BB189" s="191">
        <f t="shared" si="144"/>
        <v>0.0173</v>
      </c>
      <c r="BC189" s="44">
        <f>BB189+Podsumowanie!$E$6</f>
        <v>0.0293</v>
      </c>
      <c r="BD189" s="11">
        <f>BD$5+SUM(BE$5:BE188)+SUM(R$5:R188)-SUM(S$5:S188)</f>
        <v>324464.55954905937</v>
      </c>
      <c r="BE189" s="10">
        <f t="shared" si="224"/>
        <v>-979.6536028177889</v>
      </c>
      <c r="BF189" s="10">
        <f t="shared" si="225"/>
        <v>-792.23429956562</v>
      </c>
      <c r="BG189" s="10">
        <f>IF(U189&lt;0,PMT(BC189/12,Podsumowanie!E$8-SUM(AB$5:AB189)+1,BD189),0)</f>
        <v>-1771.8879023834088</v>
      </c>
      <c r="BI189" s="11">
        <f>BI$5+SUM(BK$5:BK188)+SUM(R$5:R188)-SUM(S$5:S188)</f>
        <v>269637.8830083563</v>
      </c>
      <c r="BJ189" s="11">
        <f t="shared" si="213"/>
        <v>-658.36583101207</v>
      </c>
      <c r="BK189" s="11">
        <f t="shared" si="214"/>
        <v>-1114.2061281337037</v>
      </c>
      <c r="BL189" s="11">
        <f t="shared" si="188"/>
        <v>-1772.5719591457737</v>
      </c>
      <c r="BN189" s="44">
        <f t="shared" si="145"/>
        <v>0.0294</v>
      </c>
      <c r="BO189" s="11">
        <f>BO$5+SUM(BP$5:BP188)+SUM(R$5:R188)-SUM(S$5:S188)+SUM(BS$5:BS188)</f>
        <v>342754.48571124306</v>
      </c>
      <c r="BP189" s="10">
        <f t="shared" si="154"/>
        <v>-1033.733119451976</v>
      </c>
      <c r="BQ189" s="10">
        <f t="shared" si="155"/>
        <v>-839.7484899925454</v>
      </c>
      <c r="BR189" s="10">
        <f>IF(U189&lt;0,PMT(BN189/12,Podsumowanie!E$8-SUM(AB$5:AB189)+1,BO189),0)</f>
        <v>-1873.4816094445216</v>
      </c>
      <c r="BS189" s="10">
        <f t="shared" si="149"/>
        <v>-365.03737269624094</v>
      </c>
      <c r="BU189" s="11">
        <f>BU$5+SUM(BW$5:BW188)+SUM(R$5:R188)-SUM(S$5:S188)+SUM(BY$5,BY188)</f>
        <v>269028.69358433865</v>
      </c>
      <c r="BV189" s="10">
        <f t="shared" si="146"/>
        <v>-659.1202992816296</v>
      </c>
      <c r="BW189" s="10">
        <f t="shared" si="147"/>
        <v>-1111.6888164642094</v>
      </c>
      <c r="BX189" s="10">
        <f t="shared" si="156"/>
        <v>-1770.8091157458389</v>
      </c>
      <c r="BY189" s="10">
        <f t="shared" si="157"/>
        <v>-467.70986639492367</v>
      </c>
      <c r="CA189" s="10">
        <f>CA$5+SUM(CB$5:CB188)+SUM(R$5:R188)-SUM(S$5:S188)-SUM(CC$5:CC188)</f>
        <v>318342.40973169054</v>
      </c>
      <c r="CB189" s="10">
        <f t="shared" si="150"/>
        <v>659.1202992816296</v>
      </c>
      <c r="CC189" s="10">
        <f t="shared" si="151"/>
        <v>2238.5189821407625</v>
      </c>
      <c r="CD189" s="10">
        <f t="shared" si="152"/>
        <v>1579.3986828591328</v>
      </c>
      <c r="CF189" s="44">
        <f t="shared" si="148"/>
        <v>0.4483</v>
      </c>
      <c r="CG189" s="10">
        <f t="shared" si="153"/>
        <v>-1003.53</v>
      </c>
      <c r="CH189" s="4">
        <f t="shared" si="158"/>
        <v>0</v>
      </c>
    </row>
    <row r="190" spans="1:86" ht="15.75">
      <c r="A190" s="36"/>
      <c r="B190" s="37">
        <v>42887</v>
      </c>
      <c r="C190" s="77">
        <f t="shared" si="142"/>
        <v>3.8708</v>
      </c>
      <c r="D190" s="79">
        <f>C190*(1+Podsumowanie!E$11)</f>
        <v>3.986924</v>
      </c>
      <c r="E190" s="34">
        <f t="shared" si="215"/>
        <v>-563.3279938145834</v>
      </c>
      <c r="F190" s="7">
        <f t="shared" si="216"/>
        <v>-2245.945898411214</v>
      </c>
      <c r="G190" s="7">
        <f t="shared" si="217"/>
        <v>-1242.4683365655314</v>
      </c>
      <c r="H190" s="7">
        <f t="shared" si="218"/>
        <v>1003.4775618456824</v>
      </c>
      <c r="I190" s="32"/>
      <c r="K190" s="4">
        <f>IF(B190&lt;Podsumowanie!E$7,0,K189+1)</f>
        <v>120</v>
      </c>
      <c r="L190" s="100">
        <f t="shared" si="143"/>
        <v>-0.0074</v>
      </c>
      <c r="M190" s="38">
        <f>L190+Podsumowanie!E$6</f>
        <v>0.0046</v>
      </c>
      <c r="N190" s="101">
        <f>MAX(Podsumowanie!E$4+SUM(AA$5:AA189)-SUM(X$5:X190)+SUM(W$5:W190),0)</f>
        <v>130169.4173316868</v>
      </c>
      <c r="O190" s="102">
        <f>MAX(Podsumowanie!E$2+SUM(V$5:V189)-SUM(S$5:S190)+SUM(R$5:R190),0)</f>
        <v>287099.8444949257</v>
      </c>
      <c r="P190" s="39">
        <f t="shared" si="189"/>
        <v>360</v>
      </c>
      <c r="Q190" s="40" t="str">
        <f>IF(AND(K190&gt;0,K190&lt;=Podsumowanie!E$9),"tak","nie")</f>
        <v>nie</v>
      </c>
      <c r="R190" s="41"/>
      <c r="S190" s="42"/>
      <c r="T190" s="88">
        <f t="shared" si="226"/>
        <v>-110.05494038972152</v>
      </c>
      <c r="U190" s="89">
        <f>IF(Q190="tak",T190,IF(P190-SUM(AB$5:AB190)+1&gt;0,IF(Podsumowanie!E$7&lt;B190,IF(SUM(AB$5:AB190)-Podsumowanie!E$9+1&gt;0,PMT(M190/12,P190+1-SUM(AB$5:AB190),O190),T190),0),0))</f>
        <v>-1242.4683365655314</v>
      </c>
      <c r="V190" s="89">
        <f t="shared" si="219"/>
        <v>-1132.41339617581</v>
      </c>
      <c r="W190" s="90" t="str">
        <f>IF(R190&gt;0,R190/(C190*(1-Podsumowanie!E$11))," ")</f>
        <v xml:space="preserve"> </v>
      </c>
      <c r="X190" s="90" t="str">
        <f t="shared" si="171"/>
        <v xml:space="preserve"> </v>
      </c>
      <c r="Y190" s="91">
        <f t="shared" si="227"/>
        <v>-49.89827664381327</v>
      </c>
      <c r="Z190" s="90">
        <f>IF(P190-SUM(AB$5:AB190)+1&gt;0,IF(Podsumowanie!E$7&lt;B190,IF(SUM(AB$5:AB190)-Podsumowanie!E$9+1&gt;0,PMT(M190/12,P190+1-SUM(AB$5:AB190),N190),Y190),0),0)</f>
        <v>-563.3279938145834</v>
      </c>
      <c r="AA190" s="90">
        <f t="shared" si="220"/>
        <v>-513.4297171707701</v>
      </c>
      <c r="AB190" s="8">
        <f>IF(AND(Podsumowanie!E$7&lt;B190,SUM(AB$5:AB189)&lt;P189),1," ")</f>
        <v>1</v>
      </c>
      <c r="AD190" s="10">
        <f>Podsumowanie!E$4-SUM(AF$5:AF189)+SUM(W$42:W190)-SUM(X$42:X190)</f>
        <v>121747.17813555227</v>
      </c>
      <c r="AE190" s="10">
        <f t="shared" si="228"/>
        <v>46.67</v>
      </c>
      <c r="AF190" s="10">
        <f t="shared" si="229"/>
        <v>505.18</v>
      </c>
      <c r="AG190" s="10">
        <f t="shared" si="221"/>
        <v>551.85</v>
      </c>
      <c r="AH190" s="10">
        <f t="shared" si="172"/>
        <v>2200.18</v>
      </c>
      <c r="AI190" s="10">
        <f>Podsumowanie!E$2-SUM(AK$5:AK189)+SUM(R$42:R190)-SUM(S$42:S190)</f>
        <v>268523.39999999985</v>
      </c>
      <c r="AJ190" s="10">
        <f t="shared" si="230"/>
        <v>102.93</v>
      </c>
      <c r="AK190" s="10">
        <f t="shared" si="231"/>
        <v>1114.2</v>
      </c>
      <c r="AL190" s="10">
        <f t="shared" si="222"/>
        <v>1217.13</v>
      </c>
      <c r="AM190" s="10">
        <f t="shared" si="223"/>
        <v>983.0499999999997</v>
      </c>
      <c r="AO190" s="43">
        <f t="shared" si="173"/>
        <v>42887</v>
      </c>
      <c r="AP190" s="11">
        <f>AP$5+SUM(AS$5:AS189)-SUM(X$5:X190)+SUM(W$5:W190)</f>
        <v>126264.33481173616</v>
      </c>
      <c r="AQ190" s="10">
        <f t="shared" si="232"/>
        <v>-48.401328344498864</v>
      </c>
      <c r="AR190" s="10">
        <f>IF(AB190=1,IF(Q190="tak",AQ190,PMT(M190/12,P190+1-SUM(AB$5:AB190),AP190)),0)</f>
        <v>-546.4281540001457</v>
      </c>
      <c r="AS190" s="10">
        <f t="shared" si="183"/>
        <v>-498.0268256556468</v>
      </c>
      <c r="AT190" s="10">
        <f t="shared" si="184"/>
        <v>-2115.114098503764</v>
      </c>
      <c r="AV190" s="11">
        <f>AV$5+SUM(AX$5:AX189)+SUM(W$5:W189)-SUM(X$5:X189)</f>
        <v>118094.60719148576</v>
      </c>
      <c r="AW190" s="11">
        <f t="shared" si="233"/>
        <v>-48.401328344498864</v>
      </c>
      <c r="AX190" s="11">
        <f t="shared" si="234"/>
        <v>-490.02</v>
      </c>
      <c r="AY190" s="11">
        <f t="shared" si="235"/>
        <v>-538.4213283444989</v>
      </c>
      <c r="AZ190" s="11">
        <f t="shared" si="174"/>
        <v>-2084.1212777558862</v>
      </c>
      <c r="BB190" s="191">
        <f t="shared" si="144"/>
        <v>0.0173</v>
      </c>
      <c r="BC190" s="44">
        <f>BB190+Podsumowanie!$E$6</f>
        <v>0.0293</v>
      </c>
      <c r="BD190" s="11">
        <f>BD$5+SUM(BE$5:BE189)+SUM(R$5:R189)-SUM(S$5:S189)</f>
        <v>323484.9059462416</v>
      </c>
      <c r="BE190" s="10">
        <f t="shared" si="224"/>
        <v>-982.0455903646691</v>
      </c>
      <c r="BF190" s="10">
        <f t="shared" si="225"/>
        <v>-789.8423120187399</v>
      </c>
      <c r="BG190" s="10">
        <f>IF(U190&lt;0,PMT(BC190/12,Podsumowanie!E$8-SUM(AB$5:AB190)+1,BD190),0)</f>
        <v>-1771.887902383409</v>
      </c>
      <c r="BI190" s="11">
        <f>BI$5+SUM(BK$5:BK189)+SUM(R$5:R189)-SUM(S$5:S189)</f>
        <v>268523.6768802226</v>
      </c>
      <c r="BJ190" s="11">
        <f t="shared" si="213"/>
        <v>-655.6453110492102</v>
      </c>
      <c r="BK190" s="11">
        <f t="shared" si="214"/>
        <v>-1114.206128133704</v>
      </c>
      <c r="BL190" s="11">
        <f t="shared" si="188"/>
        <v>-1769.8514391829142</v>
      </c>
      <c r="BN190" s="44">
        <f t="shared" si="145"/>
        <v>0.0294</v>
      </c>
      <c r="BO190" s="11">
        <f>BO$5+SUM(BP$5:BP189)+SUM(R$5:R189)-SUM(S$5:S189)+SUM(BS$5:BS189)</f>
        <v>341355.71521909477</v>
      </c>
      <c r="BP190" s="10">
        <f t="shared" si="154"/>
        <v>-1035.1587923434663</v>
      </c>
      <c r="BQ190" s="10">
        <f t="shared" si="155"/>
        <v>-836.3215022867821</v>
      </c>
      <c r="BR190" s="10">
        <f>IF(U190&lt;0,PMT(BN190/12,Podsumowanie!E$8-SUM(AB$5:AB190)+1,BO190),0)</f>
        <v>-1871.4802946302484</v>
      </c>
      <c r="BS190" s="10">
        <f t="shared" si="149"/>
        <v>-374.46560378096547</v>
      </c>
      <c r="BU190" s="11">
        <f>BU$5+SUM(BW$5:BW189)+SUM(R$5:R189)-SUM(S$5:S189)+SUM(BY$5,BY189)</f>
        <v>267969.82955353166</v>
      </c>
      <c r="BV190" s="10">
        <f t="shared" si="146"/>
        <v>-656.5260824061526</v>
      </c>
      <c r="BW190" s="10">
        <f t="shared" si="147"/>
        <v>-1111.9080064461893</v>
      </c>
      <c r="BX190" s="10">
        <f t="shared" si="156"/>
        <v>-1768.434088852342</v>
      </c>
      <c r="BY190" s="10">
        <f t="shared" si="157"/>
        <v>-477.51180955887185</v>
      </c>
      <c r="CA190" s="10">
        <f>CA$5+SUM(CB$5:CB189)+SUM(R$5:R189)-SUM(S$5:S189)-SUM(CC$5:CC189)</f>
        <v>316763.0110488315</v>
      </c>
      <c r="CB190" s="10">
        <f t="shared" si="150"/>
        <v>656.5260824061526</v>
      </c>
      <c r="CC190" s="10">
        <f t="shared" si="151"/>
        <v>2245.945898411214</v>
      </c>
      <c r="CD190" s="10">
        <f t="shared" si="152"/>
        <v>1589.4198160050614</v>
      </c>
      <c r="CF190" s="44">
        <f t="shared" si="148"/>
        <v>0.4512</v>
      </c>
      <c r="CG190" s="10">
        <f t="shared" si="153"/>
        <v>-1013.37</v>
      </c>
      <c r="CH190" s="4">
        <f t="shared" si="158"/>
        <v>0</v>
      </c>
    </row>
    <row r="191" spans="1:86" ht="15.75">
      <c r="A191" s="36"/>
      <c r="B191" s="37">
        <v>42917</v>
      </c>
      <c r="C191" s="77">
        <f t="shared" si="142"/>
        <v>3.8291</v>
      </c>
      <c r="D191" s="79">
        <f>C191*(1+Podsumowanie!E$11)</f>
        <v>3.943973</v>
      </c>
      <c r="E191" s="34">
        <f t="shared" si="215"/>
        <v>-563.3279938145834</v>
      </c>
      <c r="F191" s="7">
        <f t="shared" si="216"/>
        <v>-2221.7503977488836</v>
      </c>
      <c r="G191" s="7">
        <f t="shared" si="217"/>
        <v>-1242.4683365655312</v>
      </c>
      <c r="H191" s="7">
        <f t="shared" si="218"/>
        <v>979.2820611833524</v>
      </c>
      <c r="I191" s="32"/>
      <c r="K191" s="4">
        <f>IF(B191&lt;Podsumowanie!E$7,0,K190+1)</f>
        <v>121</v>
      </c>
      <c r="L191" s="100">
        <f t="shared" si="143"/>
        <v>-0.0074</v>
      </c>
      <c r="M191" s="38">
        <f>L191+Podsumowanie!E$6</f>
        <v>0.0046</v>
      </c>
      <c r="N191" s="101">
        <f>MAX(Podsumowanie!E$4+SUM(AA$5:AA190)-SUM(X$5:X191)+SUM(W$5:W191),0)</f>
        <v>129655.98761451602</v>
      </c>
      <c r="O191" s="102">
        <f>MAX(Podsumowanie!E$2+SUM(V$5:V190)-SUM(S$5:S191)+SUM(R$5:R191),0)</f>
        <v>285967.43109874986</v>
      </c>
      <c r="P191" s="39">
        <f t="shared" si="189"/>
        <v>360</v>
      </c>
      <c r="Q191" s="40" t="str">
        <f>IF(AND(K191&gt;0,K191&lt;=Podsumowanie!E$9),"tak","nie")</f>
        <v>nie</v>
      </c>
      <c r="R191" s="41"/>
      <c r="S191" s="42"/>
      <c r="T191" s="88">
        <f t="shared" si="226"/>
        <v>-109.6208485878541</v>
      </c>
      <c r="U191" s="89">
        <f>IF(Q191="tak",T191,IF(P191-SUM(AB$5:AB191)+1&gt;0,IF(Podsumowanie!E$7&lt;B191,IF(SUM(AB$5:AB191)-Podsumowanie!E$9+1&gt;0,PMT(M191/12,P191+1-SUM(AB$5:AB191),O191),T191),0),0))</f>
        <v>-1242.4683365655312</v>
      </c>
      <c r="V191" s="89">
        <f t="shared" si="219"/>
        <v>-1132.847487977677</v>
      </c>
      <c r="W191" s="90" t="str">
        <f>IF(R191&gt;0,R191/(C191*(1-Podsumowanie!E$11))," ")</f>
        <v xml:space="preserve"> </v>
      </c>
      <c r="X191" s="90" t="str">
        <f t="shared" si="171"/>
        <v xml:space="preserve"> </v>
      </c>
      <c r="Y191" s="91">
        <f t="shared" si="227"/>
        <v>-49.70146191889781</v>
      </c>
      <c r="Z191" s="90">
        <f>IF(P191-SUM(AB$5:AB191)+1&gt;0,IF(Podsumowanie!E$7&lt;B191,IF(SUM(AB$5:AB191)-Podsumowanie!E$9+1&gt;0,PMT(M191/12,P191+1-SUM(AB$5:AB191),N191),Y191),0),0)</f>
        <v>-563.3279938145834</v>
      </c>
      <c r="AA191" s="90">
        <f t="shared" si="220"/>
        <v>-513.6265318956855</v>
      </c>
      <c r="AB191" s="8">
        <f>IF(AND(Podsumowanie!E$7&lt;B191,SUM(AB$5:AB190)&lt;P190),1," ")</f>
        <v>1</v>
      </c>
      <c r="AD191" s="10">
        <f>Podsumowanie!E$4-SUM(AF$5:AF190)+SUM(W$42:W191)-SUM(X$42:X191)</f>
        <v>121241.99813555226</v>
      </c>
      <c r="AE191" s="10">
        <f t="shared" si="228"/>
        <v>46.48</v>
      </c>
      <c r="AF191" s="10">
        <f t="shared" si="229"/>
        <v>505.17</v>
      </c>
      <c r="AG191" s="10">
        <f t="shared" si="221"/>
        <v>551.65</v>
      </c>
      <c r="AH191" s="10">
        <f t="shared" si="172"/>
        <v>2175.69</v>
      </c>
      <c r="AI191" s="10">
        <f>Podsumowanie!E$2-SUM(AK$5:AK190)+SUM(R$42:R191)-SUM(S$42:S191)</f>
        <v>267409.19999999984</v>
      </c>
      <c r="AJ191" s="10">
        <f t="shared" si="230"/>
        <v>102.51</v>
      </c>
      <c r="AK191" s="10">
        <f t="shared" si="231"/>
        <v>1114.21</v>
      </c>
      <c r="AL191" s="10">
        <f t="shared" si="222"/>
        <v>1216.72</v>
      </c>
      <c r="AM191" s="10">
        <f t="shared" si="223"/>
        <v>958.97</v>
      </c>
      <c r="AO191" s="43">
        <f t="shared" si="173"/>
        <v>42917</v>
      </c>
      <c r="AP191" s="11">
        <f>AP$5+SUM(AS$5:AS190)-SUM(X$5:X191)+SUM(W$5:W191)</f>
        <v>125766.30798608053</v>
      </c>
      <c r="AQ191" s="10">
        <f t="shared" si="232"/>
        <v>-48.21041806133087</v>
      </c>
      <c r="AR191" s="10">
        <f>IF(AB191=1,IF(Q191="tak",AQ191,PMT(M191/12,P191+1-SUM(AB$5:AB191),AP191)),0)</f>
        <v>-546.4281540001458</v>
      </c>
      <c r="AS191" s="10">
        <f t="shared" si="183"/>
        <v>-498.21773593881494</v>
      </c>
      <c r="AT191" s="10">
        <f t="shared" si="184"/>
        <v>-2092.3280444819584</v>
      </c>
      <c r="AV191" s="11">
        <f>AV$5+SUM(AX$5:AX190)+SUM(W$5:W190)-SUM(X$5:X190)</f>
        <v>117604.58719148577</v>
      </c>
      <c r="AW191" s="11">
        <f t="shared" si="233"/>
        <v>-48.21041806133087</v>
      </c>
      <c r="AX191" s="11">
        <f t="shared" si="234"/>
        <v>-490.02</v>
      </c>
      <c r="AY191" s="11">
        <f t="shared" si="235"/>
        <v>-538.2304180613309</v>
      </c>
      <c r="AZ191" s="11">
        <f t="shared" si="174"/>
        <v>-2060.938093798642</v>
      </c>
      <c r="BB191" s="191">
        <f t="shared" si="144"/>
        <v>0.0173</v>
      </c>
      <c r="BC191" s="44">
        <f>BB191+Podsumowanie!$E$6</f>
        <v>0.0293</v>
      </c>
      <c r="BD191" s="11">
        <f>BD$5+SUM(BE$5:BE190)+SUM(R$5:R190)-SUM(S$5:S190)</f>
        <v>322502.8603558769</v>
      </c>
      <c r="BE191" s="10">
        <f t="shared" si="224"/>
        <v>-984.4434183478094</v>
      </c>
      <c r="BF191" s="10">
        <f t="shared" si="225"/>
        <v>-787.4444840355994</v>
      </c>
      <c r="BG191" s="10">
        <f>IF(U191&lt;0,PMT(BC191/12,Podsumowanie!E$8-SUM(AB$5:AB191)+1,BD191),0)</f>
        <v>-1771.8879023834088</v>
      </c>
      <c r="BI191" s="11">
        <f>BI$5+SUM(BK$5:BK190)+SUM(R$5:R190)-SUM(S$5:S190)</f>
        <v>267409.47075208894</v>
      </c>
      <c r="BJ191" s="11">
        <f t="shared" si="213"/>
        <v>-652.9247910863504</v>
      </c>
      <c r="BK191" s="11">
        <f t="shared" si="214"/>
        <v>-1114.206128133704</v>
      </c>
      <c r="BL191" s="11">
        <f t="shared" si="188"/>
        <v>-1767.1309192200542</v>
      </c>
      <c r="BN191" s="44">
        <f t="shared" si="145"/>
        <v>0.0294</v>
      </c>
      <c r="BO191" s="11">
        <f>BO$5+SUM(BP$5:BP190)+SUM(R$5:R190)-SUM(S$5:S190)+SUM(BS$5:BS190)</f>
        <v>339946.0908229704</v>
      </c>
      <c r="BP191" s="10">
        <f t="shared" si="154"/>
        <v>-1036.5531224293477</v>
      </c>
      <c r="BQ191" s="10">
        <f t="shared" si="155"/>
        <v>-832.8679225162774</v>
      </c>
      <c r="BR191" s="10">
        <f>IF(U191&lt;0,PMT(BN191/12,Podsumowanie!E$8-SUM(AB$5:AB191)+1,BO191),0)</f>
        <v>-1869.4210449456252</v>
      </c>
      <c r="BS191" s="10">
        <f t="shared" si="149"/>
        <v>-352.3293528032584</v>
      </c>
      <c r="BU191" s="11">
        <f>BU$5+SUM(BW$5:BW190)+SUM(R$5:R190)-SUM(S$5:S190)+SUM(BY$5,BY190)</f>
        <v>266848.1196039215</v>
      </c>
      <c r="BV191" s="10">
        <f t="shared" si="146"/>
        <v>-653.7778930296076</v>
      </c>
      <c r="BW191" s="10">
        <f t="shared" si="147"/>
        <v>-1111.8671650163394</v>
      </c>
      <c r="BX191" s="10">
        <f t="shared" si="156"/>
        <v>-1765.645058045947</v>
      </c>
      <c r="BY191" s="10">
        <f t="shared" si="157"/>
        <v>-456.1053397029366</v>
      </c>
      <c r="CA191" s="10">
        <f>CA$5+SUM(CB$5:CB190)+SUM(R$5:R190)-SUM(S$5:S190)-SUM(CC$5:CC190)</f>
        <v>315173.59123282635</v>
      </c>
      <c r="CB191" s="10">
        <f t="shared" si="150"/>
        <v>653.7778930296076</v>
      </c>
      <c r="CC191" s="10">
        <f t="shared" si="151"/>
        <v>2221.7503977488836</v>
      </c>
      <c r="CD191" s="10">
        <f t="shared" si="152"/>
        <v>1567.972504719276</v>
      </c>
      <c r="CF191" s="44">
        <f t="shared" si="148"/>
        <v>0.4541</v>
      </c>
      <c r="CG191" s="10">
        <f t="shared" si="153"/>
        <v>-1008.9</v>
      </c>
      <c r="CH191" s="4">
        <f t="shared" si="158"/>
        <v>0</v>
      </c>
    </row>
    <row r="192" spans="1:86" ht="15.75">
      <c r="A192" s="36"/>
      <c r="B192" s="37">
        <v>42948</v>
      </c>
      <c r="C192" s="77">
        <f t="shared" si="142"/>
        <v>3.7471</v>
      </c>
      <c r="D192" s="79">
        <f>C192*(1+Podsumowanie!E$11)</f>
        <v>3.859513</v>
      </c>
      <c r="E192" s="34">
        <f t="shared" si="215"/>
        <v>-563.3279938145834</v>
      </c>
      <c r="F192" s="7">
        <f t="shared" si="216"/>
        <v>-2174.171715391304</v>
      </c>
      <c r="G192" s="7">
        <f t="shared" si="217"/>
        <v>-1242.4683365655312</v>
      </c>
      <c r="H192" s="7">
        <f t="shared" si="218"/>
        <v>931.7033788257729</v>
      </c>
      <c r="I192" s="32"/>
      <c r="K192" s="4">
        <f>IF(B192&lt;Podsumowanie!E$7,0,K191+1)</f>
        <v>122</v>
      </c>
      <c r="L192" s="100">
        <f t="shared" si="143"/>
        <v>-0.0074</v>
      </c>
      <c r="M192" s="38">
        <f>L192+Podsumowanie!E$6</f>
        <v>0.0046</v>
      </c>
      <c r="N192" s="101">
        <f>MAX(Podsumowanie!E$4+SUM(AA$5:AA191)-SUM(X$5:X192)+SUM(W$5:W192),0)</f>
        <v>129142.36108262034</v>
      </c>
      <c r="O192" s="102">
        <f>MAX(Podsumowanie!E$2+SUM(V$5:V191)-SUM(S$5:S192)+SUM(R$5:R192),0)</f>
        <v>284834.58361077216</v>
      </c>
      <c r="P192" s="39">
        <f t="shared" si="189"/>
        <v>360</v>
      </c>
      <c r="Q192" s="40" t="str">
        <f>IF(AND(K192&gt;0,K192&lt;=Podsumowanie!E$9),"tak","nie")</f>
        <v>nie</v>
      </c>
      <c r="R192" s="41"/>
      <c r="S192" s="42"/>
      <c r="T192" s="88">
        <f t="shared" si="226"/>
        <v>-109.18659038412932</v>
      </c>
      <c r="U192" s="89">
        <f>IF(Q192="tak",T192,IF(P192-SUM(AB$5:AB192)+1&gt;0,IF(Podsumowanie!E$7&lt;B192,IF(SUM(AB$5:AB192)-Podsumowanie!E$9+1&gt;0,PMT(M192/12,P192+1-SUM(AB$5:AB192),O192),T192),0),0))</f>
        <v>-1242.4683365655312</v>
      </c>
      <c r="V192" s="89">
        <f t="shared" si="219"/>
        <v>-1133.281746181402</v>
      </c>
      <c r="W192" s="90" t="str">
        <f>IF(R192&gt;0,R192/(C192*(1-Podsumowanie!E$11))," ")</f>
        <v xml:space="preserve"> </v>
      </c>
      <c r="X192" s="90" t="str">
        <f t="shared" si="171"/>
        <v xml:space="preserve"> </v>
      </c>
      <c r="Y192" s="91">
        <f t="shared" si="227"/>
        <v>-49.50457174833779</v>
      </c>
      <c r="Z192" s="90">
        <f>IF(P192-SUM(AB$5:AB192)+1&gt;0,IF(Podsumowanie!E$7&lt;B192,IF(SUM(AB$5:AB192)-Podsumowanie!E$9+1&gt;0,PMT(M192/12,P192+1-SUM(AB$5:AB192),N192),Y192),0),0)</f>
        <v>-563.3279938145834</v>
      </c>
      <c r="AA192" s="90">
        <f t="shared" si="220"/>
        <v>-513.8234220662456</v>
      </c>
      <c r="AB192" s="8">
        <f>IF(AND(Podsumowanie!E$7&lt;B192,SUM(AB$5:AB191)&lt;P191),1," ")</f>
        <v>1</v>
      </c>
      <c r="AD192" s="10">
        <f>Podsumowanie!E$4-SUM(AF$5:AF191)+SUM(W$42:W192)-SUM(X$42:X192)</f>
        <v>120736.82813555226</v>
      </c>
      <c r="AE192" s="10">
        <f t="shared" si="228"/>
        <v>46.28</v>
      </c>
      <c r="AF192" s="10">
        <f t="shared" si="229"/>
        <v>505.18</v>
      </c>
      <c r="AG192" s="10">
        <f t="shared" si="221"/>
        <v>551.46</v>
      </c>
      <c r="AH192" s="10">
        <f t="shared" si="172"/>
        <v>2128.37</v>
      </c>
      <c r="AI192" s="10">
        <f>Podsumowanie!E$2-SUM(AK$5:AK191)+SUM(R$42:R192)-SUM(S$42:S192)</f>
        <v>266294.9899999999</v>
      </c>
      <c r="AJ192" s="10">
        <f t="shared" si="230"/>
        <v>102.08</v>
      </c>
      <c r="AK192" s="10">
        <f t="shared" si="231"/>
        <v>1114.2</v>
      </c>
      <c r="AL192" s="10">
        <f t="shared" si="222"/>
        <v>1216.28</v>
      </c>
      <c r="AM192" s="10">
        <f t="shared" si="223"/>
        <v>912.0899999999999</v>
      </c>
      <c r="AO192" s="43">
        <f t="shared" si="173"/>
        <v>42948</v>
      </c>
      <c r="AP192" s="11">
        <f>AP$5+SUM(AS$5:AS191)-SUM(X$5:X192)+SUM(W$5:W192)</f>
        <v>125268.09025014171</v>
      </c>
      <c r="AQ192" s="10">
        <f t="shared" si="232"/>
        <v>-48.01943459588765</v>
      </c>
      <c r="AR192" s="10">
        <f>IF(AB192=1,IF(Q192="tak",AQ192,PMT(M192/12,P192+1-SUM(AB$5:AB192),AP192)),0)</f>
        <v>-546.4281540001458</v>
      </c>
      <c r="AS192" s="10">
        <f t="shared" si="183"/>
        <v>-498.40871940425814</v>
      </c>
      <c r="AT192" s="10">
        <f t="shared" si="184"/>
        <v>-2047.5209358539464</v>
      </c>
      <c r="AV192" s="11">
        <f>AV$5+SUM(AX$5:AX191)+SUM(W$5:W191)-SUM(X$5:X191)</f>
        <v>117114.56719148578</v>
      </c>
      <c r="AW192" s="11">
        <f t="shared" si="233"/>
        <v>-48.01943459588765</v>
      </c>
      <c r="AX192" s="11">
        <f t="shared" si="234"/>
        <v>-490.02</v>
      </c>
      <c r="AY192" s="11">
        <f t="shared" si="235"/>
        <v>-538.0394345958877</v>
      </c>
      <c r="AZ192" s="11">
        <f t="shared" si="174"/>
        <v>-2016.0875653742507</v>
      </c>
      <c r="BB192" s="191">
        <f t="shared" si="144"/>
        <v>0.0173</v>
      </c>
      <c r="BC192" s="44">
        <f>BB192+Podsumowanie!$E$6</f>
        <v>0.0293</v>
      </c>
      <c r="BD192" s="11">
        <f>BD$5+SUM(BE$5:BE191)+SUM(R$5:R191)-SUM(S$5:S191)</f>
        <v>321518.4169375291</v>
      </c>
      <c r="BE192" s="10">
        <f t="shared" si="224"/>
        <v>-986.8471010276088</v>
      </c>
      <c r="BF192" s="10">
        <f t="shared" si="225"/>
        <v>-785.0408013558002</v>
      </c>
      <c r="BG192" s="10">
        <f>IF(U192&lt;0,PMT(BC192/12,Podsumowanie!E$8-SUM(AB$5:AB192)+1,BD192),0)</f>
        <v>-1771.887902383409</v>
      </c>
      <c r="BI192" s="11">
        <f>BI$5+SUM(BK$5:BK191)+SUM(R$5:R191)-SUM(S$5:S191)</f>
        <v>266295.26462395524</v>
      </c>
      <c r="BJ192" s="11">
        <f t="shared" si="213"/>
        <v>-650.2042711234907</v>
      </c>
      <c r="BK192" s="11">
        <f t="shared" si="214"/>
        <v>-1114.206128133704</v>
      </c>
      <c r="BL192" s="11">
        <f t="shared" si="188"/>
        <v>-1764.4103992571945</v>
      </c>
      <c r="BN192" s="44">
        <f t="shared" si="145"/>
        <v>0.0294</v>
      </c>
      <c r="BO192" s="11">
        <f>BO$5+SUM(BP$5:BP191)+SUM(R$5:R191)-SUM(S$5:S191)+SUM(BS$5:BS191)</f>
        <v>338557.20834773773</v>
      </c>
      <c r="BP192" s="10">
        <f t="shared" si="154"/>
        <v>-1038.0124399056176</v>
      </c>
      <c r="BQ192" s="10">
        <f t="shared" si="155"/>
        <v>-829.4651604519573</v>
      </c>
      <c r="BR192" s="10">
        <f>IF(U192&lt;0,PMT(BN192/12,Podsumowanie!E$8-SUM(AB$5:AB192)+1,BO192),0)</f>
        <v>-1867.4776003575748</v>
      </c>
      <c r="BS192" s="10">
        <f t="shared" si="149"/>
        <v>-306.6941150337293</v>
      </c>
      <c r="BU192" s="11">
        <f>BU$5+SUM(BW$5:BW191)+SUM(R$5:R191)-SUM(S$5:S191)+SUM(BY$5,BY191)</f>
        <v>265757.6589087611</v>
      </c>
      <c r="BV192" s="10">
        <f t="shared" si="146"/>
        <v>-651.1062643264647</v>
      </c>
      <c r="BW192" s="10">
        <f t="shared" si="147"/>
        <v>-1111.9567318358206</v>
      </c>
      <c r="BX192" s="10">
        <f t="shared" si="156"/>
        <v>-1763.0629961622853</v>
      </c>
      <c r="BY192" s="10">
        <f t="shared" si="157"/>
        <v>-411.1087192290188</v>
      </c>
      <c r="CA192" s="10">
        <f>CA$5+SUM(CB$5:CB191)+SUM(R$5:R191)-SUM(S$5:S191)-SUM(CC$5:CC191)</f>
        <v>313605.6187281071</v>
      </c>
      <c r="CB192" s="10">
        <f t="shared" si="150"/>
        <v>651.1062643264647</v>
      </c>
      <c r="CC192" s="10">
        <f t="shared" si="151"/>
        <v>2174.171715391304</v>
      </c>
      <c r="CD192" s="10">
        <f t="shared" si="152"/>
        <v>1523.0654510648394</v>
      </c>
      <c r="CF192" s="44">
        <f t="shared" si="148"/>
        <v>0.4555</v>
      </c>
      <c r="CG192" s="10">
        <f t="shared" si="153"/>
        <v>-990.34</v>
      </c>
      <c r="CH192" s="4">
        <f t="shared" si="158"/>
        <v>0</v>
      </c>
    </row>
    <row r="193" spans="1:86" ht="15.75">
      <c r="A193" s="36"/>
      <c r="B193" s="37">
        <v>42979</v>
      </c>
      <c r="C193" s="77">
        <f t="shared" si="142"/>
        <v>3.722</v>
      </c>
      <c r="D193" s="79">
        <f>C193*(1+Podsumowanie!E$11)</f>
        <v>3.83366</v>
      </c>
      <c r="E193" s="34">
        <f t="shared" si="215"/>
        <v>-563.3279938145834</v>
      </c>
      <c r="F193" s="7">
        <f t="shared" si="216"/>
        <v>-2159.607996767216</v>
      </c>
      <c r="G193" s="7">
        <f t="shared" si="217"/>
        <v>-1242.4683365655314</v>
      </c>
      <c r="H193" s="7">
        <f t="shared" si="218"/>
        <v>917.1396602016844</v>
      </c>
      <c r="I193" s="32"/>
      <c r="K193" s="4">
        <f>IF(B193&lt;Podsumowanie!E$7,0,K192+1)</f>
        <v>123</v>
      </c>
      <c r="L193" s="100">
        <f t="shared" si="143"/>
        <v>-0.0074</v>
      </c>
      <c r="M193" s="38">
        <f>L193+Podsumowanie!E$6</f>
        <v>0.0046</v>
      </c>
      <c r="N193" s="101">
        <f>MAX(Podsumowanie!E$4+SUM(AA$5:AA192)-SUM(X$5:X193)+SUM(W$5:W193),0)</f>
        <v>128628.53766055408</v>
      </c>
      <c r="O193" s="102">
        <f>MAX(Podsumowanie!E$2+SUM(V$5:V192)-SUM(S$5:S193)+SUM(R$5:R193),0)</f>
        <v>283701.3018645908</v>
      </c>
      <c r="P193" s="39">
        <f t="shared" si="189"/>
        <v>360</v>
      </c>
      <c r="Q193" s="40" t="str">
        <f>IF(AND(K193&gt;0,K193&lt;=Podsumowanie!E$9),"tak","nie")</f>
        <v>nie</v>
      </c>
      <c r="R193" s="41"/>
      <c r="S193" s="42"/>
      <c r="T193" s="88">
        <f t="shared" si="226"/>
        <v>-108.75216571475981</v>
      </c>
      <c r="U193" s="89">
        <f>IF(Q193="tak",T193,IF(P193-SUM(AB$5:AB193)+1&gt;0,IF(Podsumowanie!E$7&lt;B193,IF(SUM(AB$5:AB193)-Podsumowanie!E$9+1&gt;0,PMT(M193/12,P193+1-SUM(AB$5:AB193),O193),T193),0),0))</f>
        <v>-1242.4683365655314</v>
      </c>
      <c r="V193" s="89">
        <f t="shared" si="219"/>
        <v>-1133.7161708507717</v>
      </c>
      <c r="W193" s="90" t="str">
        <f>IF(R193&gt;0,R193/(C193*(1-Podsumowanie!E$11))," ")</f>
        <v xml:space="preserve"> </v>
      </c>
      <c r="X193" s="90" t="str">
        <f t="shared" si="171"/>
        <v xml:space="preserve"> </v>
      </c>
      <c r="Y193" s="91">
        <f t="shared" si="227"/>
        <v>-49.3076061032124</v>
      </c>
      <c r="Z193" s="90">
        <f>IF(P193-SUM(AB$5:AB193)+1&gt;0,IF(Podsumowanie!E$7&lt;B193,IF(SUM(AB$5:AB193)-Podsumowanie!E$9+1&gt;0,PMT(M193/12,P193+1-SUM(AB$5:AB193),N193),Y193),0),0)</f>
        <v>-563.3279938145834</v>
      </c>
      <c r="AA193" s="90">
        <f t="shared" si="220"/>
        <v>-514.020387711371</v>
      </c>
      <c r="AB193" s="8">
        <f>IF(AND(Podsumowanie!E$7&lt;B193,SUM(AB$5:AB192)&lt;P192),1," ")</f>
        <v>1</v>
      </c>
      <c r="AD193" s="10">
        <f>Podsumowanie!E$4-SUM(AF$5:AF192)+SUM(W$42:W193)-SUM(X$42:X193)</f>
        <v>120231.64813555227</v>
      </c>
      <c r="AE193" s="10">
        <f t="shared" si="228"/>
        <v>46.09</v>
      </c>
      <c r="AF193" s="10">
        <f t="shared" si="229"/>
        <v>505.17</v>
      </c>
      <c r="AG193" s="10">
        <f t="shared" si="221"/>
        <v>551.26</v>
      </c>
      <c r="AH193" s="10">
        <f t="shared" si="172"/>
        <v>2113.34</v>
      </c>
      <c r="AI193" s="10">
        <f>Podsumowanie!E$2-SUM(AK$5:AK192)+SUM(R$42:R193)-SUM(S$42:S193)</f>
        <v>265180.7899999998</v>
      </c>
      <c r="AJ193" s="10">
        <f t="shared" si="230"/>
        <v>101.65</v>
      </c>
      <c r="AK193" s="10">
        <f t="shared" si="231"/>
        <v>1114.21</v>
      </c>
      <c r="AL193" s="10">
        <f t="shared" si="222"/>
        <v>1215.8600000000001</v>
      </c>
      <c r="AM193" s="10">
        <f t="shared" si="223"/>
        <v>897.48</v>
      </c>
      <c r="AO193" s="43">
        <f t="shared" si="173"/>
        <v>42979</v>
      </c>
      <c r="AP193" s="11">
        <f>AP$5+SUM(AS$5:AS192)-SUM(X$5:X193)+SUM(W$5:W193)</f>
        <v>124769.68153073745</v>
      </c>
      <c r="AQ193" s="10">
        <f t="shared" si="232"/>
        <v>-47.828377920116026</v>
      </c>
      <c r="AR193" s="10">
        <f>IF(AB193=1,IF(Q193="tak",AQ193,PMT(M193/12,P193+1-SUM(AB$5:AB193),AP193)),0)</f>
        <v>-546.4281540001458</v>
      </c>
      <c r="AS193" s="10">
        <f t="shared" si="183"/>
        <v>-498.59977608002976</v>
      </c>
      <c r="AT193" s="10">
        <f t="shared" si="184"/>
        <v>-2033.8055891885426</v>
      </c>
      <c r="AV193" s="11">
        <f>AV$5+SUM(AX$5:AX192)+SUM(W$5:W192)-SUM(X$5:X192)</f>
        <v>116624.54719148578</v>
      </c>
      <c r="AW193" s="11">
        <f t="shared" si="233"/>
        <v>-47.828377920116026</v>
      </c>
      <c r="AX193" s="11">
        <f t="shared" si="234"/>
        <v>-490.02</v>
      </c>
      <c r="AY193" s="11">
        <f t="shared" si="235"/>
        <v>-537.848377920116</v>
      </c>
      <c r="AZ193" s="11">
        <f t="shared" si="174"/>
        <v>-2001.871662618672</v>
      </c>
      <c r="BB193" s="191">
        <f t="shared" si="144"/>
        <v>0.0173</v>
      </c>
      <c r="BC193" s="44">
        <f>BB193+Podsumowanie!$E$6</f>
        <v>0.0293</v>
      </c>
      <c r="BD193" s="11">
        <f>BD$5+SUM(BE$5:BE192)+SUM(R$5:R192)-SUM(S$5:S192)</f>
        <v>320531.5698365015</v>
      </c>
      <c r="BE193" s="10">
        <f t="shared" si="224"/>
        <v>-989.2566526992842</v>
      </c>
      <c r="BF193" s="10">
        <f t="shared" si="225"/>
        <v>-782.6312496841246</v>
      </c>
      <c r="BG193" s="10">
        <f>IF(U193&lt;0,PMT(BC193/12,Podsumowanie!E$8-SUM(AB$5:AB193)+1,BD193),0)</f>
        <v>-1771.8879023834088</v>
      </c>
      <c r="BI193" s="11">
        <f>BI$5+SUM(BK$5:BK192)+SUM(R$5:R192)-SUM(S$5:S192)</f>
        <v>265181.05849582155</v>
      </c>
      <c r="BJ193" s="11">
        <f t="shared" si="213"/>
        <v>-647.483751160631</v>
      </c>
      <c r="BK193" s="11">
        <f t="shared" si="214"/>
        <v>-1114.206128133704</v>
      </c>
      <c r="BL193" s="11">
        <f t="shared" si="188"/>
        <v>-1761.6898792943348</v>
      </c>
      <c r="BN193" s="44">
        <f t="shared" si="145"/>
        <v>0.0294</v>
      </c>
      <c r="BO193" s="11">
        <f>BO$5+SUM(BP$5:BP192)+SUM(R$5:R192)-SUM(S$5:S192)+SUM(BS$5:BS192)</f>
        <v>337212.5017927984</v>
      </c>
      <c r="BP193" s="10">
        <f t="shared" si="154"/>
        <v>-1039.610047065983</v>
      </c>
      <c r="BQ193" s="10">
        <f t="shared" si="155"/>
        <v>-826.1706293923561</v>
      </c>
      <c r="BR193" s="10">
        <f>IF(U193&lt;0,PMT(BN193/12,Podsumowanie!E$8-SUM(AB$5:AB193)+1,BO193),0)</f>
        <v>-1865.780676458339</v>
      </c>
      <c r="BS193" s="10">
        <f t="shared" si="149"/>
        <v>-293.8273203088768</v>
      </c>
      <c r="BU193" s="11">
        <f>BU$5+SUM(BW$5:BW192)+SUM(R$5:R192)-SUM(S$5:S192)+SUM(BY$5,BY192)</f>
        <v>264690.6987973992</v>
      </c>
      <c r="BV193" s="10">
        <f t="shared" si="146"/>
        <v>-648.4922120536279</v>
      </c>
      <c r="BW193" s="10">
        <f t="shared" si="147"/>
        <v>-1112.1457932663832</v>
      </c>
      <c r="BX193" s="10">
        <f t="shared" si="156"/>
        <v>-1760.638005320011</v>
      </c>
      <c r="BY193" s="10">
        <f t="shared" si="157"/>
        <v>-398.96999144720485</v>
      </c>
      <c r="CA193" s="10">
        <f>CA$5+SUM(CB$5:CB192)+SUM(R$5:R192)-SUM(S$5:S192)-SUM(CC$5:CC192)</f>
        <v>312082.5532770422</v>
      </c>
      <c r="CB193" s="10">
        <f t="shared" si="150"/>
        <v>648.4922120536279</v>
      </c>
      <c r="CC193" s="10">
        <f t="shared" si="151"/>
        <v>2159.607996767216</v>
      </c>
      <c r="CD193" s="10">
        <f t="shared" si="152"/>
        <v>1511.1157847135878</v>
      </c>
      <c r="CF193" s="44">
        <f t="shared" si="148"/>
        <v>0.4497</v>
      </c>
      <c r="CG193" s="10">
        <f t="shared" si="153"/>
        <v>-971.18</v>
      </c>
      <c r="CH193" s="4">
        <f t="shared" si="158"/>
        <v>0</v>
      </c>
    </row>
    <row r="194" spans="1:86" ht="15.75">
      <c r="A194" s="36"/>
      <c r="B194" s="37">
        <v>43009</v>
      </c>
      <c r="C194" s="77">
        <f t="shared" si="142"/>
        <v>3.6968</v>
      </c>
      <c r="D194" s="79">
        <f>C194*(1+Podsumowanie!E$11)</f>
        <v>3.807704</v>
      </c>
      <c r="E194" s="34">
        <f aca="true" t="shared" si="236" ref="E194:E199">Z194</f>
        <v>-563.3279938145834</v>
      </c>
      <c r="F194" s="7">
        <f aca="true" t="shared" si="237" ref="F194:F199">E194*D194</f>
        <v>-2144.9862553597645</v>
      </c>
      <c r="G194" s="7">
        <f aca="true" t="shared" si="238" ref="G194:G199">U194</f>
        <v>-1242.4683365655312</v>
      </c>
      <c r="H194" s="7">
        <f aca="true" t="shared" si="239" ref="H194:H199">G194-F194</f>
        <v>902.5179187942333</v>
      </c>
      <c r="I194" s="32"/>
      <c r="K194" s="4">
        <f>IF(B194&lt;Podsumowanie!E$7,0,K193+1)</f>
        <v>124</v>
      </c>
      <c r="L194" s="100">
        <f t="shared" si="143"/>
        <v>-0.0074</v>
      </c>
      <c r="M194" s="38">
        <f>L194+Podsumowanie!E$6</f>
        <v>0.0046</v>
      </c>
      <c r="N194" s="101">
        <f>MAX(Podsumowanie!E$4+SUM(AA$5:AA193)-SUM(X$5:X194)+SUM(W$5:W194),0)</f>
        <v>128114.51727284271</v>
      </c>
      <c r="O194" s="102">
        <f>MAX(Podsumowanie!E$2+SUM(V$5:V193)-SUM(S$5:S194)+SUM(R$5:R194),0)</f>
        <v>282567.58569374</v>
      </c>
      <c r="P194" s="39">
        <f t="shared" si="189"/>
        <v>360</v>
      </c>
      <c r="Q194" s="40" t="str">
        <f>IF(AND(K194&gt;0,K194&lt;=Podsumowanie!E$9),"tak","nie")</f>
        <v>nie</v>
      </c>
      <c r="R194" s="41"/>
      <c r="S194" s="42"/>
      <c r="T194" s="88">
        <f aca="true" t="shared" si="240" ref="T194:T199">IF(AB194=1,-O194*M194/12,0)</f>
        <v>-108.31757451593366</v>
      </c>
      <c r="U194" s="89">
        <f>IF(Q194="tak",T194,IF(P194-SUM(AB$5:AB194)+1&gt;0,IF(Podsumowanie!E$7&lt;B194,IF(SUM(AB$5:AB194)-Podsumowanie!E$9+1&gt;0,PMT(M194/12,P194+1-SUM(AB$5:AB194),O194),T194),0),0))</f>
        <v>-1242.4683365655312</v>
      </c>
      <c r="V194" s="89">
        <f aca="true" t="shared" si="241" ref="V194:V199">U194-T194</f>
        <v>-1134.1507620495975</v>
      </c>
      <c r="W194" s="90" t="str">
        <f>IF(R194&gt;0,R194/(C194*(1-Podsumowanie!E$11))," ")</f>
        <v xml:space="preserve"> </v>
      </c>
      <c r="X194" s="90" t="str">
        <f t="shared" si="171"/>
        <v xml:space="preserve"> </v>
      </c>
      <c r="Y194" s="91">
        <f aca="true" t="shared" si="242" ref="Y194:Y199">IF(AB194=1,-N194*M194/12,0)</f>
        <v>-49.110564954589705</v>
      </c>
      <c r="Z194" s="90">
        <f>IF(P194-SUM(AB$5:AB194)+1&gt;0,IF(Podsumowanie!E$7&lt;B194,IF(SUM(AB$5:AB194)-Podsumowanie!E$9+1&gt;0,PMT(M194/12,P194+1-SUM(AB$5:AB194),N194),Y194),0),0)</f>
        <v>-563.3279938145834</v>
      </c>
      <c r="AA194" s="90">
        <f aca="true" t="shared" si="243" ref="AA194:AA199">Z194-Y194</f>
        <v>-514.2174288599937</v>
      </c>
      <c r="AB194" s="8">
        <f>IF(AND(Podsumowanie!E$7&lt;B194,SUM(AB$5:AB193)&lt;P193),1," ")</f>
        <v>1</v>
      </c>
      <c r="AD194" s="10">
        <f>Podsumowanie!E$4-SUM(AF$5:AF193)+SUM(W$42:W194)-SUM(X$42:X194)</f>
        <v>119726.47813555226</v>
      </c>
      <c r="AE194" s="10">
        <f aca="true" t="shared" si="244" ref="AE194:AE199">IF(AB194=1,ROUND(AD194*M194/12,2),0)</f>
        <v>45.9</v>
      </c>
      <c r="AF194" s="10">
        <f aca="true" t="shared" si="245" ref="AF194:AF199">IF(Q194="tak",0,IF(AB194=1,ROUND(AD194/(P194-K194+1),2),0))</f>
        <v>505.18</v>
      </c>
      <c r="AG194" s="10">
        <f aca="true" t="shared" si="246" ref="AG194:AG199">AF194+AE194</f>
        <v>551.08</v>
      </c>
      <c r="AH194" s="10">
        <f t="shared" si="172"/>
        <v>2098.35</v>
      </c>
      <c r="AI194" s="10">
        <f>Podsumowanie!E$2-SUM(AK$5:AK193)+SUM(R$42:R194)-SUM(S$42:S194)</f>
        <v>264066.57999999984</v>
      </c>
      <c r="AJ194" s="10">
        <f aca="true" t="shared" si="247" ref="AJ194:AJ199">IF(AB194=1,ROUND(AI194*M194/12,2),0)</f>
        <v>101.23</v>
      </c>
      <c r="AK194" s="10">
        <f aca="true" t="shared" si="248" ref="AK194:AK199">IF(Q194="tak",0,IF(AB194=1,ROUND(AI194/(P194-K194+1),2),0))</f>
        <v>1114.2</v>
      </c>
      <c r="AL194" s="10">
        <f aca="true" t="shared" si="249" ref="AL194:AL199">AK194+AJ194</f>
        <v>1215.43</v>
      </c>
      <c r="AM194" s="10">
        <f aca="true" t="shared" si="250" ref="AM194:AM199">AH194-AL194</f>
        <v>882.9199999999998</v>
      </c>
      <c r="AO194" s="43">
        <f t="shared" si="173"/>
        <v>43009</v>
      </c>
      <c r="AP194" s="11">
        <f>AP$5+SUM(AS$5:AS193)-SUM(X$5:X194)+SUM(W$5:W194)</f>
        <v>124271.08175465741</v>
      </c>
      <c r="AQ194" s="10">
        <f aca="true" t="shared" si="251" ref="AQ194:AQ199">IF(AB194=1,-AP194*M194/12,0)</f>
        <v>-47.63724800595201</v>
      </c>
      <c r="AR194" s="10">
        <f>IF(AB194=1,IF(Q194="tak",AQ194,PMT(M194/12,P194+1-SUM(AB$5:AB194),AP194)),0)</f>
        <v>-546.4281540001457</v>
      </c>
      <c r="AS194" s="10">
        <f t="shared" si="183"/>
        <v>-498.7909059941937</v>
      </c>
      <c r="AT194" s="10">
        <f t="shared" si="184"/>
        <v>-2020.0355997077386</v>
      </c>
      <c r="AV194" s="11">
        <f>AV$5+SUM(AX$5:AX193)+SUM(W$5:W193)-SUM(X$5:X193)</f>
        <v>116134.52719148577</v>
      </c>
      <c r="AW194" s="11">
        <f aca="true" t="shared" si="252" ref="AW194:AW199">IF(AB194=1,-AP194*M194/12,0)</f>
        <v>-47.63724800595201</v>
      </c>
      <c r="AX194" s="11">
        <f aca="true" t="shared" si="253" ref="AX194:AX199">IF(AB194=1,IF(Q194="tak",0,ROUND(-AV194/(P194-K194+1),2)),0)</f>
        <v>-490.02</v>
      </c>
      <c r="AY194" s="11">
        <f aca="true" t="shared" si="254" ref="AY194:AY199">AX194+AW194</f>
        <v>-537.6572480059519</v>
      </c>
      <c r="AZ194" s="11">
        <f t="shared" si="174"/>
        <v>-1987.6113144284031</v>
      </c>
      <c r="BB194" s="191">
        <f t="shared" si="144"/>
        <v>0.0173</v>
      </c>
      <c r="BC194" s="44">
        <f>BB194+Podsumowanie!$E$6</f>
        <v>0.0293</v>
      </c>
      <c r="BD194" s="11">
        <f>BD$5+SUM(BE$5:BE193)+SUM(R$5:R193)-SUM(S$5:S193)</f>
        <v>319542.3131838022</v>
      </c>
      <c r="BE194" s="10">
        <f aca="true" t="shared" si="255" ref="BE194:BE199">IF(BG194&lt;0,BG194-BF194,0)</f>
        <v>-991.6720876929583</v>
      </c>
      <c r="BF194" s="10">
        <f aca="true" t="shared" si="256" ref="BF194:BF199">IF(BG194&lt;0,-BD194*BC194/12,0)</f>
        <v>-780.2158146904503</v>
      </c>
      <c r="BG194" s="10">
        <f>IF(U194&lt;0,PMT(BC194/12,Podsumowanie!E$8-SUM(AB$5:AB194)+1,BD194),0)</f>
        <v>-1771.8879023834086</v>
      </c>
      <c r="BI194" s="11">
        <f>BI$5+SUM(BK$5:BK193)+SUM(R$5:R193)-SUM(S$5:S193)</f>
        <v>264066.85236768785</v>
      </c>
      <c r="BJ194" s="11">
        <f t="shared" si="213"/>
        <v>-644.7632311977712</v>
      </c>
      <c r="BK194" s="11">
        <f t="shared" si="214"/>
        <v>-1114.206128133704</v>
      </c>
      <c r="BL194" s="11">
        <f t="shared" si="188"/>
        <v>-1758.969359331475</v>
      </c>
      <c r="BN194" s="44">
        <f t="shared" si="145"/>
        <v>0.0294</v>
      </c>
      <c r="BO194" s="11">
        <f>BO$5+SUM(BP$5:BP193)+SUM(R$5:R193)-SUM(S$5:S193)+SUM(BS$5:BS193)</f>
        <v>335879.0644254235</v>
      </c>
      <c r="BP194" s="10">
        <f t="shared" si="154"/>
        <v>-1041.246208522336</v>
      </c>
      <c r="BQ194" s="10">
        <f t="shared" si="155"/>
        <v>-822.9037078422875</v>
      </c>
      <c r="BR194" s="10">
        <f>IF(U194&lt;0,PMT(BN194/12,Podsumowanie!E$8-SUM(AB$5:AB194)+1,BO194),0)</f>
        <v>-1864.1499163646236</v>
      </c>
      <c r="BS194" s="10">
        <f t="shared" si="149"/>
        <v>-280.836338995141</v>
      </c>
      <c r="BU194" s="11">
        <f>BU$5+SUM(BW$5:BW193)+SUM(R$5:R193)-SUM(S$5:S193)+SUM(BY$5,BY193)</f>
        <v>263590.6917319146</v>
      </c>
      <c r="BV194" s="10">
        <f t="shared" si="146"/>
        <v>-645.7971947431907</v>
      </c>
      <c r="BW194" s="10">
        <f t="shared" si="147"/>
        <v>-1112.1970115270658</v>
      </c>
      <c r="BX194" s="10">
        <f t="shared" si="156"/>
        <v>-1757.9942062702567</v>
      </c>
      <c r="BY194" s="10">
        <f t="shared" si="157"/>
        <v>-386.9920490895079</v>
      </c>
      <c r="CA194" s="10">
        <f>CA$5+SUM(CB$5:CB193)+SUM(R$5:R193)-SUM(S$5:S193)-SUM(CC$5:CC193)</f>
        <v>310571.43749232864</v>
      </c>
      <c r="CB194" s="10">
        <f t="shared" si="150"/>
        <v>645.7971947431907</v>
      </c>
      <c r="CC194" s="10">
        <f t="shared" si="151"/>
        <v>2144.9862553597645</v>
      </c>
      <c r="CD194" s="10">
        <f t="shared" si="152"/>
        <v>1499.189060616574</v>
      </c>
      <c r="CF194" s="44">
        <f t="shared" si="148"/>
        <v>0.4425</v>
      </c>
      <c r="CG194" s="10">
        <f t="shared" si="153"/>
        <v>-949.16</v>
      </c>
      <c r="CH194" s="4">
        <f t="shared" si="158"/>
        <v>0</v>
      </c>
    </row>
    <row r="195" spans="1:86" ht="15.75">
      <c r="A195" s="36"/>
      <c r="B195" s="37">
        <v>43040</v>
      </c>
      <c r="C195" s="77">
        <f t="shared" si="142"/>
        <v>3.6328</v>
      </c>
      <c r="D195" s="79">
        <f>C195*(1+Podsumowanie!E$11)</f>
        <v>3.741784</v>
      </c>
      <c r="E195" s="34">
        <f t="shared" si="236"/>
        <v>-563.3279938145834</v>
      </c>
      <c r="F195" s="7">
        <f t="shared" si="237"/>
        <v>-2107.851674007507</v>
      </c>
      <c r="G195" s="7">
        <f t="shared" si="238"/>
        <v>-1242.4683365655312</v>
      </c>
      <c r="H195" s="7">
        <f t="shared" si="239"/>
        <v>865.3833374419758</v>
      </c>
      <c r="I195" s="32"/>
      <c r="K195" s="4">
        <f>IF(B195&lt;Podsumowanie!E$7,0,K194+1)</f>
        <v>125</v>
      </c>
      <c r="L195" s="100">
        <f t="shared" si="143"/>
        <v>-0.0074</v>
      </c>
      <c r="M195" s="38">
        <f>L195+Podsumowanie!E$6</f>
        <v>0.0046</v>
      </c>
      <c r="N195" s="101">
        <f>MAX(Podsumowanie!E$4+SUM(AA$5:AA194)-SUM(X$5:X195)+SUM(W$5:W195),0)</f>
        <v>127600.29984398272</v>
      </c>
      <c r="O195" s="102">
        <f>MAX(Podsumowanie!E$2+SUM(V$5:V194)-SUM(S$5:S195)+SUM(R$5:R195),0)</f>
        <v>281433.4349316904</v>
      </c>
      <c r="P195" s="39">
        <f t="shared" si="189"/>
        <v>360</v>
      </c>
      <c r="Q195" s="40" t="str">
        <f>IF(AND(K195&gt;0,K195&lt;=Podsumowanie!E$9),"tak","nie")</f>
        <v>nie</v>
      </c>
      <c r="R195" s="41"/>
      <c r="S195" s="42"/>
      <c r="T195" s="88">
        <f t="shared" si="240"/>
        <v>-107.88281672381464</v>
      </c>
      <c r="U195" s="89">
        <f>IF(Q195="tak",T195,IF(P195-SUM(AB$5:AB195)+1&gt;0,IF(Podsumowanie!E$7&lt;B195,IF(SUM(AB$5:AB195)-Podsumowanie!E$9+1&gt;0,PMT(M195/12,P195+1-SUM(AB$5:AB195),O195),T195),0),0))</f>
        <v>-1242.4683365655312</v>
      </c>
      <c r="V195" s="89">
        <f t="shared" si="241"/>
        <v>-1134.5855198417166</v>
      </c>
      <c r="W195" s="90" t="str">
        <f>IF(R195&gt;0,R195/(C195*(1-Podsumowanie!E$11))," ")</f>
        <v xml:space="preserve"> </v>
      </c>
      <c r="X195" s="90" t="str">
        <f t="shared" si="171"/>
        <v xml:space="preserve"> </v>
      </c>
      <c r="Y195" s="91">
        <f t="shared" si="242"/>
        <v>-48.91344827352671</v>
      </c>
      <c r="Z195" s="90">
        <f>IF(P195-SUM(AB$5:AB195)+1&gt;0,IF(Podsumowanie!E$7&lt;B195,IF(SUM(AB$5:AB195)-Podsumowanie!E$9+1&gt;0,PMT(M195/12,P195+1-SUM(AB$5:AB195),N195),Y195),0),0)</f>
        <v>-563.3279938145834</v>
      </c>
      <c r="AA195" s="90">
        <f t="shared" si="243"/>
        <v>-514.4145455410567</v>
      </c>
      <c r="AB195" s="8">
        <f>IF(AND(Podsumowanie!E$7&lt;B195,SUM(AB$5:AB194)&lt;P194),1," ")</f>
        <v>1</v>
      </c>
      <c r="AD195" s="10">
        <f>Podsumowanie!E$4-SUM(AF$5:AF194)+SUM(W$42:W195)-SUM(X$42:X195)</f>
        <v>119221.29813555226</v>
      </c>
      <c r="AE195" s="10">
        <f t="shared" si="244"/>
        <v>45.7</v>
      </c>
      <c r="AF195" s="10">
        <f t="shared" si="245"/>
        <v>505.17</v>
      </c>
      <c r="AG195" s="10">
        <f t="shared" si="246"/>
        <v>550.87</v>
      </c>
      <c r="AH195" s="10">
        <f t="shared" si="172"/>
        <v>2061.24</v>
      </c>
      <c r="AI195" s="10">
        <f>Podsumowanie!E$2-SUM(AK$5:AK194)+SUM(R$42:R195)-SUM(S$42:S195)</f>
        <v>262952.37999999983</v>
      </c>
      <c r="AJ195" s="10">
        <f t="shared" si="247"/>
        <v>100.8</v>
      </c>
      <c r="AK195" s="10">
        <f t="shared" si="248"/>
        <v>1114.21</v>
      </c>
      <c r="AL195" s="10">
        <f t="shared" si="249"/>
        <v>1215.01</v>
      </c>
      <c r="AM195" s="10">
        <f t="shared" si="250"/>
        <v>846.2299999999998</v>
      </c>
      <c r="AO195" s="43">
        <f t="shared" si="173"/>
        <v>43040</v>
      </c>
      <c r="AP195" s="11">
        <f>AP$5+SUM(AS$5:AS194)-SUM(X$5:X195)+SUM(W$5:W195)</f>
        <v>123772.29084866322</v>
      </c>
      <c r="AQ195" s="10">
        <f t="shared" si="251"/>
        <v>-47.446044825320904</v>
      </c>
      <c r="AR195" s="10">
        <f>IF(AB195=1,IF(Q195="tak",AQ195,PMT(M195/12,P195+1-SUM(AB$5:AB195),AP195)),0)</f>
        <v>-546.4281540001458</v>
      </c>
      <c r="AS195" s="10">
        <f t="shared" si="183"/>
        <v>-498.9821091748249</v>
      </c>
      <c r="AT195" s="10">
        <f t="shared" si="184"/>
        <v>-1985.0641978517297</v>
      </c>
      <c r="AV195" s="11">
        <f>AV$5+SUM(AX$5:AX194)+SUM(W$5:W194)-SUM(X$5:X194)</f>
        <v>115644.50719148578</v>
      </c>
      <c r="AW195" s="11">
        <f t="shared" si="252"/>
        <v>-47.446044825320904</v>
      </c>
      <c r="AX195" s="11">
        <f t="shared" si="253"/>
        <v>-490.02</v>
      </c>
      <c r="AY195" s="11">
        <f t="shared" si="254"/>
        <v>-537.4660448253209</v>
      </c>
      <c r="AZ195" s="11">
        <f t="shared" si="174"/>
        <v>-1952.5066476414256</v>
      </c>
      <c r="BB195" s="191">
        <f t="shared" si="144"/>
        <v>0.0173</v>
      </c>
      <c r="BC195" s="44">
        <f>BB195+Podsumowanie!$E$6</f>
        <v>0.0293</v>
      </c>
      <c r="BD195" s="11">
        <f>BD$5+SUM(BE$5:BE194)+SUM(R$5:R194)-SUM(S$5:S194)</f>
        <v>318550.64109610923</v>
      </c>
      <c r="BE195" s="10">
        <f t="shared" si="255"/>
        <v>-994.0934203737419</v>
      </c>
      <c r="BF195" s="10">
        <f t="shared" si="256"/>
        <v>-777.7944820096667</v>
      </c>
      <c r="BG195" s="10">
        <f>IF(U195&lt;0,PMT(BC195/12,Podsumowanie!E$8-SUM(AB$5:AB195)+1,BD195),0)</f>
        <v>-1771.8879023834086</v>
      </c>
      <c r="BI195" s="11">
        <f>BI$5+SUM(BK$5:BK194)+SUM(R$5:R194)-SUM(S$5:S194)</f>
        <v>262952.64623955416</v>
      </c>
      <c r="BJ195" s="11">
        <f t="shared" si="213"/>
        <v>-642.0427112349114</v>
      </c>
      <c r="BK195" s="11">
        <f t="shared" si="214"/>
        <v>-1114.2061281337042</v>
      </c>
      <c r="BL195" s="11">
        <f t="shared" si="188"/>
        <v>-1756.2488393686156</v>
      </c>
      <c r="BN195" s="44">
        <f t="shared" si="145"/>
        <v>0.0294</v>
      </c>
      <c r="BO195" s="11">
        <f>BO$5+SUM(BP$5:BP194)+SUM(R$5:R194)-SUM(S$5:S194)+SUM(BS$5:BS194)</f>
        <v>334556.981877906</v>
      </c>
      <c r="BP195" s="10">
        <f t="shared" si="154"/>
        <v>-1042.9218044649792</v>
      </c>
      <c r="BQ195" s="10">
        <f t="shared" si="155"/>
        <v>-819.6646056008698</v>
      </c>
      <c r="BR195" s="10">
        <f>IF(U195&lt;0,PMT(BN195/12,Podsumowanie!E$8-SUM(AB$5:AB195)+1,BO195),0)</f>
        <v>-1862.586410065849</v>
      </c>
      <c r="BS195" s="10">
        <f t="shared" si="149"/>
        <v>-245.26526394165808</v>
      </c>
      <c r="BU195" s="11">
        <f>BU$5+SUM(BW$5:BW194)+SUM(R$5:R194)-SUM(S$5:S194)+SUM(BY$5,BY194)</f>
        <v>262490.4726627453</v>
      </c>
      <c r="BV195" s="10">
        <f t="shared" si="146"/>
        <v>-643.1016580237259</v>
      </c>
      <c r="BW195" s="10">
        <f t="shared" si="147"/>
        <v>-1112.2477655201071</v>
      </c>
      <c r="BX195" s="10">
        <f t="shared" si="156"/>
        <v>-1755.349423543833</v>
      </c>
      <c r="BY195" s="10">
        <f t="shared" si="157"/>
        <v>-352.50225046367405</v>
      </c>
      <c r="CA195" s="10">
        <f>CA$5+SUM(CB$5:CB194)+SUM(R$5:R194)-SUM(S$5:S194)-SUM(CC$5:CC194)</f>
        <v>309072.24843171204</v>
      </c>
      <c r="CB195" s="10">
        <f t="shared" si="150"/>
        <v>643.1016580237259</v>
      </c>
      <c r="CC195" s="10">
        <f t="shared" si="151"/>
        <v>2107.851674007507</v>
      </c>
      <c r="CD195" s="10">
        <f t="shared" si="152"/>
        <v>1464.750015983781</v>
      </c>
      <c r="CF195" s="44">
        <f t="shared" si="148"/>
        <v>0.4353</v>
      </c>
      <c r="CG195" s="10">
        <f t="shared" si="153"/>
        <v>-917.55</v>
      </c>
      <c r="CH195" s="4">
        <f t="shared" si="158"/>
        <v>0</v>
      </c>
    </row>
    <row r="196" spans="1:86" ht="15.75">
      <c r="A196" s="36"/>
      <c r="B196" s="37">
        <v>43070</v>
      </c>
      <c r="C196" s="77">
        <f t="shared" si="142"/>
        <v>3.5938</v>
      </c>
      <c r="D196" s="79">
        <f>C196*(1+Podsumowanie!E$11)</f>
        <v>3.701614</v>
      </c>
      <c r="E196" s="34">
        <f t="shared" si="236"/>
        <v>-563.3279938145834</v>
      </c>
      <c r="F196" s="7">
        <f t="shared" si="237"/>
        <v>-2085.2227884959752</v>
      </c>
      <c r="G196" s="7">
        <f t="shared" si="238"/>
        <v>-1242.4683365655312</v>
      </c>
      <c r="H196" s="7">
        <f t="shared" si="239"/>
        <v>842.754451930444</v>
      </c>
      <c r="I196" s="32"/>
      <c r="K196" s="4">
        <f>IF(B196&lt;Podsumowanie!E$7,0,K195+1)</f>
        <v>126</v>
      </c>
      <c r="L196" s="100">
        <f t="shared" si="143"/>
        <v>-0.0074</v>
      </c>
      <c r="M196" s="38">
        <f>L196+Podsumowanie!E$6</f>
        <v>0.0046</v>
      </c>
      <c r="N196" s="101">
        <f>MAX(Podsumowanie!E$4+SUM(AA$5:AA195)-SUM(X$5:X196)+SUM(W$5:W196),0)</f>
        <v>127085.88529844166</v>
      </c>
      <c r="O196" s="102">
        <f>MAX(Podsumowanie!E$2+SUM(V$5:V195)-SUM(S$5:S196)+SUM(R$5:R196),0)</f>
        <v>280298.8494118487</v>
      </c>
      <c r="P196" s="39">
        <f t="shared" si="189"/>
        <v>360</v>
      </c>
      <c r="Q196" s="40" t="str">
        <f>IF(AND(K196&gt;0,K196&lt;=Podsumowanie!E$9),"tak","nie")</f>
        <v>nie</v>
      </c>
      <c r="R196" s="41"/>
      <c r="S196" s="42"/>
      <c r="T196" s="88">
        <f t="shared" si="240"/>
        <v>-107.44789227454201</v>
      </c>
      <c r="U196" s="89">
        <f>IF(Q196="tak",T196,IF(P196-SUM(AB$5:AB196)+1&gt;0,IF(Podsumowanie!E$7&lt;B196,IF(SUM(AB$5:AB196)-Podsumowanie!E$9+1&gt;0,PMT(M196/12,P196+1-SUM(AB$5:AB196),O196),T196),0),0))</f>
        <v>-1242.4683365655312</v>
      </c>
      <c r="V196" s="89">
        <f t="shared" si="241"/>
        <v>-1135.0204442909892</v>
      </c>
      <c r="W196" s="90" t="str">
        <f>IF(R196&gt;0,R196/(C196*(1-Podsumowanie!E$11))," ")</f>
        <v xml:space="preserve"> </v>
      </c>
      <c r="X196" s="90" t="str">
        <f t="shared" si="171"/>
        <v xml:space="preserve"> </v>
      </c>
      <c r="Y196" s="91">
        <f t="shared" si="242"/>
        <v>-48.7162560310693</v>
      </c>
      <c r="Z196" s="90">
        <f>IF(P196-SUM(AB$5:AB196)+1&gt;0,IF(Podsumowanie!E$7&lt;B196,IF(SUM(AB$5:AB196)-Podsumowanie!E$9+1&gt;0,PMT(M196/12,P196+1-SUM(AB$5:AB196),N196),Y196),0),0)</f>
        <v>-563.3279938145834</v>
      </c>
      <c r="AA196" s="90">
        <f t="shared" si="243"/>
        <v>-514.6117377835141</v>
      </c>
      <c r="AB196" s="8">
        <f>IF(AND(Podsumowanie!E$7&lt;B196,SUM(AB$5:AB195)&lt;P195),1," ")</f>
        <v>1</v>
      </c>
      <c r="AD196" s="10">
        <f>Podsumowanie!E$4-SUM(AF$5:AF195)+SUM(W$42:W196)-SUM(X$42:X196)</f>
        <v>118716.12813555227</v>
      </c>
      <c r="AE196" s="10">
        <f t="shared" si="244"/>
        <v>45.51</v>
      </c>
      <c r="AF196" s="10">
        <f t="shared" si="245"/>
        <v>505.18</v>
      </c>
      <c r="AG196" s="10">
        <f t="shared" si="246"/>
        <v>550.69</v>
      </c>
      <c r="AH196" s="10">
        <f t="shared" si="172"/>
        <v>2038.44</v>
      </c>
      <c r="AI196" s="10">
        <f>Podsumowanie!E$2-SUM(AK$5:AK195)+SUM(R$42:R196)-SUM(S$42:S196)</f>
        <v>261838.16999999984</v>
      </c>
      <c r="AJ196" s="10">
        <f t="shared" si="247"/>
        <v>100.37</v>
      </c>
      <c r="AK196" s="10">
        <f t="shared" si="248"/>
        <v>1114.2</v>
      </c>
      <c r="AL196" s="10">
        <f t="shared" si="249"/>
        <v>1214.5700000000002</v>
      </c>
      <c r="AM196" s="10">
        <f t="shared" si="250"/>
        <v>823.8699999999999</v>
      </c>
      <c r="AO196" s="43">
        <f t="shared" si="173"/>
        <v>43070</v>
      </c>
      <c r="AP196" s="11">
        <f>AP$5+SUM(AS$5:AS195)-SUM(X$5:X196)+SUM(W$5:W196)</f>
        <v>123273.30873948839</v>
      </c>
      <c r="AQ196" s="10">
        <f t="shared" si="251"/>
        <v>-47.25476835013722</v>
      </c>
      <c r="AR196" s="10">
        <f>IF(AB196=1,IF(Q196="tak",AQ196,PMT(M196/12,P196+1-SUM(AB$5:AB196),AP196)),0)</f>
        <v>-546.4281540001457</v>
      </c>
      <c r="AS196" s="10">
        <f t="shared" si="183"/>
        <v>-499.17338565000847</v>
      </c>
      <c r="AT196" s="10">
        <f t="shared" si="184"/>
        <v>-1963.7534998457236</v>
      </c>
      <c r="AV196" s="11">
        <f>AV$5+SUM(AX$5:AX195)+SUM(W$5:W195)-SUM(X$5:X195)</f>
        <v>115154.4871914858</v>
      </c>
      <c r="AW196" s="11">
        <f t="shared" si="252"/>
        <v>-47.25476835013722</v>
      </c>
      <c r="AX196" s="11">
        <f t="shared" si="253"/>
        <v>-490.02</v>
      </c>
      <c r="AY196" s="11">
        <f t="shared" si="254"/>
        <v>-537.2747683501372</v>
      </c>
      <c r="AZ196" s="11">
        <f t="shared" si="174"/>
        <v>-1930.8580624967228</v>
      </c>
      <c r="BB196" s="191">
        <f t="shared" si="144"/>
        <v>0.0172</v>
      </c>
      <c r="BC196" s="44">
        <f>BB196+Podsumowanie!$E$6</f>
        <v>0.0292</v>
      </c>
      <c r="BD196" s="11">
        <f>BD$5+SUM(BE$5:BE195)+SUM(R$5:R195)-SUM(S$5:S195)</f>
        <v>317556.5476757355</v>
      </c>
      <c r="BE196" s="10">
        <f t="shared" si="255"/>
        <v>-997.5877171176195</v>
      </c>
      <c r="BF196" s="10">
        <f t="shared" si="256"/>
        <v>-772.720932677623</v>
      </c>
      <c r="BG196" s="10">
        <f>IF(U196&lt;0,PMT(BC196/12,Podsumowanie!E$8-SUM(AB$5:AB196)+1,BD196),0)</f>
        <v>-1770.3086497952424</v>
      </c>
      <c r="BI196" s="11">
        <f>BI$5+SUM(BK$5:BK195)+SUM(R$5:R195)-SUM(S$5:S195)</f>
        <v>261838.44011142044</v>
      </c>
      <c r="BJ196" s="11">
        <f t="shared" si="213"/>
        <v>-637.140204271123</v>
      </c>
      <c r="BK196" s="11">
        <f t="shared" si="214"/>
        <v>-1114.206128133704</v>
      </c>
      <c r="BL196" s="11">
        <f t="shared" si="188"/>
        <v>-1751.346332404827</v>
      </c>
      <c r="BN196" s="44">
        <f t="shared" si="145"/>
        <v>0.0293</v>
      </c>
      <c r="BO196" s="11">
        <f>BO$5+SUM(BP$5:BP195)+SUM(R$5:R195)-SUM(S$5:S195)+SUM(BS$5:BS195)</f>
        <v>333268.7948094994</v>
      </c>
      <c r="BP196" s="10">
        <f t="shared" si="154"/>
        <v>-1045.8270928606396</v>
      </c>
      <c r="BQ196" s="10">
        <f t="shared" si="155"/>
        <v>-813.7313073265277</v>
      </c>
      <c r="BR196" s="10">
        <f>IF(U196&lt;0,PMT(BN196/12,Podsumowanie!E$8-SUM(AB$5:AB196)+1,BO196),0)</f>
        <v>-1859.5584001871673</v>
      </c>
      <c r="BS196" s="10">
        <f t="shared" si="149"/>
        <v>-225.66438830880793</v>
      </c>
      <c r="BU196" s="11">
        <f>BU$5+SUM(BW$5:BW195)+SUM(R$5:R195)-SUM(S$5:S195)+SUM(BY$5,BY195)</f>
        <v>261412.714695851</v>
      </c>
      <c r="BV196" s="10">
        <f t="shared" si="146"/>
        <v>-638.2827117157028</v>
      </c>
      <c r="BW196" s="10">
        <f t="shared" si="147"/>
        <v>-1112.3945306206426</v>
      </c>
      <c r="BX196" s="10">
        <f t="shared" si="156"/>
        <v>-1750.6772423363454</v>
      </c>
      <c r="BY196" s="10">
        <f t="shared" si="157"/>
        <v>-334.5455461596298</v>
      </c>
      <c r="CA196" s="10">
        <f>CA$5+SUM(CB$5:CB195)+SUM(R$5:R195)-SUM(S$5:S195)-SUM(CC$5:CC195)</f>
        <v>307607.49841572833</v>
      </c>
      <c r="CB196" s="10">
        <f t="shared" si="150"/>
        <v>638.2827117157028</v>
      </c>
      <c r="CC196" s="10">
        <f t="shared" si="151"/>
        <v>2085.2227884959752</v>
      </c>
      <c r="CD196" s="10">
        <f t="shared" si="152"/>
        <v>1446.9400767802724</v>
      </c>
      <c r="CF196" s="44">
        <f t="shared" si="148"/>
        <v>0.4325</v>
      </c>
      <c r="CG196" s="10">
        <f t="shared" si="153"/>
        <v>-901.86</v>
      </c>
      <c r="CH196" s="4">
        <f t="shared" si="158"/>
        <v>0</v>
      </c>
    </row>
    <row r="197" spans="1:86" ht="15.75">
      <c r="A197" s="36">
        <v>2018</v>
      </c>
      <c r="B197" s="37">
        <v>43101</v>
      </c>
      <c r="C197" s="77">
        <f aca="true" t="shared" si="257" ref="C197:C240">VLOOKUP(B197,Kursy,C$2)</f>
        <v>3.5511</v>
      </c>
      <c r="D197" s="79">
        <f>C197*(1+Podsumowanie!E$11)</f>
        <v>3.657633</v>
      </c>
      <c r="E197" s="34">
        <f t="shared" si="236"/>
        <v>-563.3279938145834</v>
      </c>
      <c r="F197" s="7">
        <f t="shared" si="237"/>
        <v>-2060.447060000016</v>
      </c>
      <c r="G197" s="7">
        <f t="shared" si="238"/>
        <v>-1242.4683365655314</v>
      </c>
      <c r="H197" s="7">
        <f t="shared" si="239"/>
        <v>817.9787234344844</v>
      </c>
      <c r="I197" s="32"/>
      <c r="K197" s="4">
        <f>IF(B197&lt;Podsumowanie!E$7,0,K196+1)</f>
        <v>127</v>
      </c>
      <c r="L197" s="100">
        <f aca="true" t="shared" si="258" ref="L197:L240">VLOOKUP(B197,Oproc,C$2)</f>
        <v>-0.0074</v>
      </c>
      <c r="M197" s="38">
        <f>L197+Podsumowanie!E$6</f>
        <v>0.0046</v>
      </c>
      <c r="N197" s="101">
        <f>MAX(Podsumowanie!E$4+SUM(AA$5:AA196)-SUM(X$5:X197)+SUM(W$5:W197),0)</f>
        <v>126571.27356065816</v>
      </c>
      <c r="O197" s="102">
        <f>MAX(Podsumowanie!E$2+SUM(V$5:V196)-SUM(S$5:S197)+SUM(R$5:R197),0)</f>
        <v>279163.8289675577</v>
      </c>
      <c r="P197" s="39">
        <f t="shared" si="189"/>
        <v>360</v>
      </c>
      <c r="Q197" s="40" t="str">
        <f>IF(AND(K197&gt;0,K197&lt;=Podsumowanie!E$9),"tak","nie")</f>
        <v>nie</v>
      </c>
      <c r="R197" s="41"/>
      <c r="S197" s="42"/>
      <c r="T197" s="88">
        <f t="shared" si="240"/>
        <v>-107.01280110423045</v>
      </c>
      <c r="U197" s="89">
        <f>IF(Q197="tak",T197,IF(P197-SUM(AB$5:AB197)+1&gt;0,IF(Podsumowanie!E$7&lt;B197,IF(SUM(AB$5:AB197)-Podsumowanie!E$9+1&gt;0,PMT(M197/12,P197+1-SUM(AB$5:AB197),O197),T197),0),0))</f>
        <v>-1242.4683365655314</v>
      </c>
      <c r="V197" s="89">
        <f t="shared" si="241"/>
        <v>-1135.455535461301</v>
      </c>
      <c r="W197" s="90" t="str">
        <f>IF(R197&gt;0,R197/(C197*(1-Podsumowanie!E$11))," ")</f>
        <v xml:space="preserve"> </v>
      </c>
      <c r="X197" s="90" t="str">
        <f t="shared" si="171"/>
        <v xml:space="preserve"> </v>
      </c>
      <c r="Y197" s="91">
        <f t="shared" si="242"/>
        <v>-48.51898819825229</v>
      </c>
      <c r="Z197" s="90">
        <f>IF(P197-SUM(AB$5:AB197)+1&gt;0,IF(Podsumowanie!E$7&lt;B197,IF(SUM(AB$5:AB197)-Podsumowanie!E$9+1&gt;0,PMT(M197/12,P197+1-SUM(AB$5:AB197),N197),Y197),0),0)</f>
        <v>-563.3279938145834</v>
      </c>
      <c r="AA197" s="90">
        <f t="shared" si="243"/>
        <v>-514.8090056163311</v>
      </c>
      <c r="AB197" s="8">
        <f>IF(AND(Podsumowanie!E$7&lt;B197,SUM(AB$5:AB196)&lt;P196),1," ")</f>
        <v>1</v>
      </c>
      <c r="AD197" s="10">
        <f>Podsumowanie!E$4-SUM(AF$5:AF196)+SUM(W$42:W197)-SUM(X$42:X197)</f>
        <v>118210.94813555226</v>
      </c>
      <c r="AE197" s="10">
        <f t="shared" si="244"/>
        <v>45.31</v>
      </c>
      <c r="AF197" s="10">
        <f t="shared" si="245"/>
        <v>505.17</v>
      </c>
      <c r="AG197" s="10">
        <f t="shared" si="246"/>
        <v>550.48</v>
      </c>
      <c r="AH197" s="10">
        <f t="shared" si="172"/>
        <v>2013.45</v>
      </c>
      <c r="AI197" s="10">
        <f>Podsumowanie!E$2-SUM(AK$5:AK196)+SUM(R$42:R197)-SUM(S$42:S197)</f>
        <v>260723.96999999983</v>
      </c>
      <c r="AJ197" s="10">
        <f t="shared" si="247"/>
        <v>99.94</v>
      </c>
      <c r="AK197" s="10">
        <f t="shared" si="248"/>
        <v>1114.21</v>
      </c>
      <c r="AL197" s="10">
        <f t="shared" si="249"/>
        <v>1214.15</v>
      </c>
      <c r="AM197" s="10">
        <f t="shared" si="250"/>
        <v>799.3</v>
      </c>
      <c r="AO197" s="43">
        <f t="shared" si="173"/>
        <v>43101</v>
      </c>
      <c r="AP197" s="11">
        <f>AP$5+SUM(AS$5:AS196)-SUM(X$5:X197)+SUM(W$5:W197)</f>
        <v>122774.13535383838</v>
      </c>
      <c r="AQ197" s="10">
        <f t="shared" si="251"/>
        <v>-47.06341855230471</v>
      </c>
      <c r="AR197" s="10">
        <f>IF(AB197=1,IF(Q197="tak",AQ197,PMT(M197/12,P197+1-SUM(AB$5:AB197),AP197)),0)</f>
        <v>-546.4281540001458</v>
      </c>
      <c r="AS197" s="10">
        <f t="shared" si="183"/>
        <v>-499.3647354478411</v>
      </c>
      <c r="AT197" s="10">
        <f t="shared" si="184"/>
        <v>-1940.4210176699178</v>
      </c>
      <c r="AV197" s="11">
        <f>AV$5+SUM(AX$5:AX196)+SUM(W$5:W196)-SUM(X$5:X196)</f>
        <v>114664.46719148579</v>
      </c>
      <c r="AW197" s="11">
        <f t="shared" si="252"/>
        <v>-47.06341855230471</v>
      </c>
      <c r="AX197" s="11">
        <f t="shared" si="253"/>
        <v>-490.02</v>
      </c>
      <c r="AY197" s="11">
        <f t="shared" si="254"/>
        <v>-537.0834185523047</v>
      </c>
      <c r="AZ197" s="11">
        <f t="shared" si="174"/>
        <v>-1907.236927621089</v>
      </c>
      <c r="BB197" s="191">
        <f aca="true" t="shared" si="259" ref="BB197:BB244">VLOOKUP(B197,Oproc,5)</f>
        <v>0.0172</v>
      </c>
      <c r="BC197" s="44">
        <f>BB197+Podsumowanie!$E$6</f>
        <v>0.0292</v>
      </c>
      <c r="BD197" s="11">
        <f>BD$5+SUM(BE$5:BE196)+SUM(R$5:R196)-SUM(S$5:S196)</f>
        <v>316558.95995861787</v>
      </c>
      <c r="BE197" s="10">
        <f t="shared" si="255"/>
        <v>-1000.0151805626057</v>
      </c>
      <c r="BF197" s="10">
        <f t="shared" si="256"/>
        <v>-770.2934692326368</v>
      </c>
      <c r="BG197" s="10">
        <f>IF(U197&lt;0,PMT(BC197/12,Podsumowanie!E$8-SUM(AB$5:AB197)+1,BD197),0)</f>
        <v>-1770.3086497952424</v>
      </c>
      <c r="BI197" s="11">
        <f>BI$5+SUM(BK$5:BK196)+SUM(R$5:R196)-SUM(S$5:S196)</f>
        <v>260724.23398328674</v>
      </c>
      <c r="BJ197" s="11">
        <f t="shared" si="213"/>
        <v>-634.4289693593311</v>
      </c>
      <c r="BK197" s="11">
        <f t="shared" si="214"/>
        <v>-1114.206128133704</v>
      </c>
      <c r="BL197" s="11">
        <f t="shared" si="188"/>
        <v>-1748.6350974930351</v>
      </c>
      <c r="BN197" s="44">
        <f aca="true" t="shared" si="260" ref="BN197:BN244">BB197+$BN$4</f>
        <v>0.0293</v>
      </c>
      <c r="BO197" s="11">
        <f>BO$5+SUM(BP$5:BP196)+SUM(R$5:R196)-SUM(S$5:S196)+SUM(BS$5:BS196)</f>
        <v>331997.30332833</v>
      </c>
      <c r="BP197" s="10">
        <f t="shared" si="154"/>
        <v>-1047.6685353390976</v>
      </c>
      <c r="BQ197" s="10">
        <f t="shared" si="155"/>
        <v>-810.6267489600058</v>
      </c>
      <c r="BR197" s="10">
        <f>IF(U197&lt;0,PMT(BN197/12,Podsumowanie!E$8-SUM(AB$5:AB197)+1,BO197),0)</f>
        <v>-1858.2952842991033</v>
      </c>
      <c r="BS197" s="10">
        <f t="shared" si="149"/>
        <v>-202.1517757009126</v>
      </c>
      <c r="BU197" s="11">
        <f>BU$5+SUM(BW$5:BW196)+SUM(R$5:R196)-SUM(S$5:S196)+SUM(BY$5,BY196)</f>
        <v>260318.2768695344</v>
      </c>
      <c r="BV197" s="10">
        <f aca="true" t="shared" si="261" ref="BV197:BV244">IF(AB197=1,-BN197*BU197/12,0)</f>
        <v>-635.6104593564465</v>
      </c>
      <c r="BW197" s="10">
        <f aca="true" t="shared" si="262" ref="BW197:BW244">IF(AB197=1,-BU197/(P197-K197+1),0)</f>
        <v>-1112.471268673224</v>
      </c>
      <c r="BX197" s="10">
        <f t="shared" si="156"/>
        <v>-1748.0817280296706</v>
      </c>
      <c r="BY197" s="10">
        <f t="shared" si="157"/>
        <v>-312.3653319703453</v>
      </c>
      <c r="CA197" s="10">
        <f>CA$5+SUM(CB$5:CB196)+SUM(R$5:R196)-SUM(S$5:S196)-SUM(CC$5:CC196)</f>
        <v>306160.558338948</v>
      </c>
      <c r="CB197" s="10">
        <f t="shared" si="150"/>
        <v>635.6104593564465</v>
      </c>
      <c r="CC197" s="10">
        <f t="shared" si="151"/>
        <v>2060.447060000016</v>
      </c>
      <c r="CD197" s="10">
        <f t="shared" si="152"/>
        <v>1424.8366006435695</v>
      </c>
      <c r="CF197" s="44">
        <f aca="true" t="shared" si="263" ref="CF197:CF257">VLOOKUP(B197,Inflacja,2)</f>
        <v>0.4282</v>
      </c>
      <c r="CG197" s="10">
        <f t="shared" si="153"/>
        <v>-882.28</v>
      </c>
      <c r="CH197" s="4">
        <f t="shared" si="158"/>
        <v>0</v>
      </c>
    </row>
    <row r="198" spans="1:86" ht="15.75">
      <c r="A198" s="36"/>
      <c r="B198" s="37">
        <v>43132</v>
      </c>
      <c r="C198" s="77">
        <f t="shared" si="257"/>
        <v>3.6115</v>
      </c>
      <c r="D198" s="79">
        <f>C198*(1+Podsumowanie!E$11)</f>
        <v>3.719845</v>
      </c>
      <c r="E198" s="34">
        <f t="shared" si="236"/>
        <v>-563.3279938145834</v>
      </c>
      <c r="F198" s="7">
        <f t="shared" si="237"/>
        <v>-2095.492821151209</v>
      </c>
      <c r="G198" s="7">
        <f t="shared" si="238"/>
        <v>-1242.4683365655314</v>
      </c>
      <c r="H198" s="7">
        <f t="shared" si="239"/>
        <v>853.0244845856773</v>
      </c>
      <c r="I198" s="32"/>
      <c r="K198" s="4">
        <f>IF(B198&lt;Podsumowanie!E$7,0,K197+1)</f>
        <v>128</v>
      </c>
      <c r="L198" s="100">
        <f t="shared" si="258"/>
        <v>-0.0074</v>
      </c>
      <c r="M198" s="38">
        <f>L198+Podsumowanie!E$6</f>
        <v>0.0046</v>
      </c>
      <c r="N198" s="101">
        <f>MAX(Podsumowanie!E$4+SUM(AA$5:AA197)-SUM(X$5:X198)+SUM(W$5:W198),0)</f>
        <v>126056.46455504182</v>
      </c>
      <c r="O198" s="102">
        <f>MAX(Podsumowanie!E$2+SUM(V$5:V197)-SUM(S$5:S198)+SUM(R$5:R198),0)</f>
        <v>278028.37343209644</v>
      </c>
      <c r="P198" s="39">
        <f t="shared" si="189"/>
        <v>360</v>
      </c>
      <c r="Q198" s="40" t="str">
        <f>IF(AND(K198&gt;0,K198&lt;=Podsumowanie!E$9),"tak","nie")</f>
        <v>nie</v>
      </c>
      <c r="R198" s="41"/>
      <c r="S198" s="42"/>
      <c r="T198" s="88">
        <f t="shared" si="240"/>
        <v>-106.57754314897029</v>
      </c>
      <c r="U198" s="89">
        <f>IF(Q198="tak",T198,IF(P198-SUM(AB$5:AB198)+1&gt;0,IF(Podsumowanie!E$7&lt;B198,IF(SUM(AB$5:AB198)-Podsumowanie!E$9+1&gt;0,PMT(M198/12,P198+1-SUM(AB$5:AB198),O198),T198),0),0))</f>
        <v>-1242.4683365655314</v>
      </c>
      <c r="V198" s="89">
        <f t="shared" si="241"/>
        <v>-1135.890793416561</v>
      </c>
      <c r="W198" s="90" t="str">
        <f>IF(R198&gt;0,R198/(C198*(1-Podsumowanie!E$11))," ")</f>
        <v xml:space="preserve"> </v>
      </c>
      <c r="X198" s="90" t="str">
        <f t="shared" si="171"/>
        <v xml:space="preserve"> </v>
      </c>
      <c r="Y198" s="91">
        <f t="shared" si="242"/>
        <v>-48.321644746099366</v>
      </c>
      <c r="Z198" s="90">
        <f>IF(P198-SUM(AB$5:AB198)+1&gt;0,IF(Podsumowanie!E$7&lt;B198,IF(SUM(AB$5:AB198)-Podsumowanie!E$9+1&gt;0,PMT(M198/12,P198+1-SUM(AB$5:AB198),N198),Y198),0),0)</f>
        <v>-563.3279938145834</v>
      </c>
      <c r="AA198" s="90">
        <f t="shared" si="243"/>
        <v>-515.006349068484</v>
      </c>
      <c r="AB198" s="8">
        <f>IF(AND(Podsumowanie!E$7&lt;B198,SUM(AB$5:AB197)&lt;P197),1," ")</f>
        <v>1</v>
      </c>
      <c r="AD198" s="10">
        <f>Podsumowanie!E$4-SUM(AF$5:AF197)+SUM(W$42:W198)-SUM(X$42:X198)</f>
        <v>117705.77813555227</v>
      </c>
      <c r="AE198" s="10">
        <f t="shared" si="244"/>
        <v>45.12</v>
      </c>
      <c r="AF198" s="10">
        <f t="shared" si="245"/>
        <v>505.18</v>
      </c>
      <c r="AG198" s="10">
        <f t="shared" si="246"/>
        <v>550.3</v>
      </c>
      <c r="AH198" s="10">
        <f t="shared" si="172"/>
        <v>2047.03</v>
      </c>
      <c r="AI198" s="10">
        <f>Podsumowanie!E$2-SUM(AK$5:AK197)+SUM(R$42:R198)-SUM(S$42:S198)</f>
        <v>259609.75999999983</v>
      </c>
      <c r="AJ198" s="10">
        <f t="shared" si="247"/>
        <v>99.52</v>
      </c>
      <c r="AK198" s="10">
        <f t="shared" si="248"/>
        <v>1114.2</v>
      </c>
      <c r="AL198" s="10">
        <f t="shared" si="249"/>
        <v>1213.72</v>
      </c>
      <c r="AM198" s="10">
        <f t="shared" si="250"/>
        <v>833.31</v>
      </c>
      <c r="AO198" s="43">
        <f t="shared" si="173"/>
        <v>43132</v>
      </c>
      <c r="AP198" s="11">
        <f>AP$5+SUM(AS$5:AS197)-SUM(X$5:X198)+SUM(W$5:W198)</f>
        <v>122274.77061839055</v>
      </c>
      <c r="AQ198" s="10">
        <f t="shared" si="251"/>
        <v>-46.871995403716376</v>
      </c>
      <c r="AR198" s="10">
        <f>IF(AB198=1,IF(Q198="tak",AQ198,PMT(M198/12,P198+1-SUM(AB$5:AB198),AP198)),0)</f>
        <v>-546.4281540001458</v>
      </c>
      <c r="AS198" s="10">
        <f t="shared" si="183"/>
        <v>-499.55615859642944</v>
      </c>
      <c r="AT198" s="10">
        <f t="shared" si="184"/>
        <v>-1973.4252781715265</v>
      </c>
      <c r="AV198" s="11">
        <f>AV$5+SUM(AX$5:AX197)+SUM(W$5:W197)-SUM(X$5:X197)</f>
        <v>114174.44719148579</v>
      </c>
      <c r="AW198" s="11">
        <f t="shared" si="252"/>
        <v>-46.871995403716376</v>
      </c>
      <c r="AX198" s="11">
        <f t="shared" si="253"/>
        <v>-490.02</v>
      </c>
      <c r="AY198" s="11">
        <f t="shared" si="254"/>
        <v>-536.8919954037164</v>
      </c>
      <c r="AZ198" s="11">
        <f t="shared" si="174"/>
        <v>-1938.9854414005215</v>
      </c>
      <c r="BB198" s="191">
        <f t="shared" si="259"/>
        <v>0.0172</v>
      </c>
      <c r="BC198" s="44">
        <f>BB198+Podsumowanie!$E$6</f>
        <v>0.0292</v>
      </c>
      <c r="BD198" s="11">
        <f>BD$5+SUM(BE$5:BE197)+SUM(R$5:R197)-SUM(S$5:S197)</f>
        <v>315558.94477805524</v>
      </c>
      <c r="BE198" s="10">
        <f t="shared" si="255"/>
        <v>-1002.448550835308</v>
      </c>
      <c r="BF198" s="10">
        <f t="shared" si="256"/>
        <v>-767.8600989599345</v>
      </c>
      <c r="BG198" s="10">
        <f>IF(U198&lt;0,PMT(BC198/12,Podsumowanie!E$8-SUM(AB$5:AB198)+1,BD198),0)</f>
        <v>-1770.3086497952424</v>
      </c>
      <c r="BI198" s="11">
        <f>BI$5+SUM(BK$5:BK197)+SUM(R$5:R197)-SUM(S$5:S197)</f>
        <v>259610.02785515305</v>
      </c>
      <c r="BJ198" s="11">
        <f t="shared" si="213"/>
        <v>-631.7177344475391</v>
      </c>
      <c r="BK198" s="11">
        <f t="shared" si="214"/>
        <v>-1114.2061281337042</v>
      </c>
      <c r="BL198" s="11">
        <f t="shared" si="188"/>
        <v>-1745.9238625812432</v>
      </c>
      <c r="BN198" s="44">
        <f t="shared" si="260"/>
        <v>0.0293</v>
      </c>
      <c r="BO198" s="11">
        <f>BO$5+SUM(BP$5:BP197)+SUM(R$5:R197)-SUM(S$5:S197)+SUM(BS$5:BS197)</f>
        <v>330747.48301729</v>
      </c>
      <c r="BP198" s="10">
        <f t="shared" si="154"/>
        <v>-1049.585089718741</v>
      </c>
      <c r="BQ198" s="10">
        <f t="shared" si="155"/>
        <v>-807.5751043672163</v>
      </c>
      <c r="BR198" s="10">
        <f>IF(U198&lt;0,PMT(BN198/12,Podsumowanie!E$8-SUM(AB$5:AB198)+1,BO198),0)</f>
        <v>-1857.1601940859575</v>
      </c>
      <c r="BS198" s="10">
        <f aca="true" t="shared" si="264" ref="BS198:BS244">F198-BR198</f>
        <v>-238.33262706525124</v>
      </c>
      <c r="BU198" s="11">
        <f>BU$5+SUM(BW$5:BW197)+SUM(R$5:R197)-SUM(S$5:S197)+SUM(BY$5,BY197)</f>
        <v>259227.98581505046</v>
      </c>
      <c r="BV198" s="10">
        <f t="shared" si="261"/>
        <v>-632.9483320317482</v>
      </c>
      <c r="BW198" s="10">
        <f t="shared" si="262"/>
        <v>-1112.5664627255385</v>
      </c>
      <c r="BX198" s="10">
        <f t="shared" si="156"/>
        <v>-1745.5147947572868</v>
      </c>
      <c r="BY198" s="10">
        <f t="shared" si="157"/>
        <v>-349.97802639392194</v>
      </c>
      <c r="CA198" s="10">
        <f>CA$5+SUM(CB$5:CB197)+SUM(R$5:R197)-SUM(S$5:S197)-SUM(CC$5:CC197)</f>
        <v>304735.7217383044</v>
      </c>
      <c r="CB198" s="10">
        <f aca="true" t="shared" si="265" ref="CB198:CB247">IF(AB198=1,BN198*BU198/12,0)</f>
        <v>632.9483320317482</v>
      </c>
      <c r="CC198" s="10">
        <f aca="true" t="shared" si="266" ref="CC198:CC247">-F198</f>
        <v>2095.492821151209</v>
      </c>
      <c r="CD198" s="10">
        <f aca="true" t="shared" si="267" ref="CD198:CD247">CC198-CB198</f>
        <v>1462.5444891194606</v>
      </c>
      <c r="CF198" s="44">
        <f t="shared" si="263"/>
        <v>0.431</v>
      </c>
      <c r="CG198" s="10">
        <f aca="true" t="shared" si="268" ref="CG198:CG257">ROUND(CF198*(F198-S198),2)</f>
        <v>-903.16</v>
      </c>
      <c r="CH198" s="4">
        <f t="shared" si="158"/>
        <v>0</v>
      </c>
    </row>
    <row r="199" spans="1:86" ht="15.75">
      <c r="A199" s="36"/>
      <c r="B199" s="37">
        <v>43160</v>
      </c>
      <c r="C199" s="77">
        <f t="shared" si="257"/>
        <v>3.6062</v>
      </c>
      <c r="D199" s="79">
        <f>C199*(1+Podsumowanie!E$11)</f>
        <v>3.7143859999999997</v>
      </c>
      <c r="E199" s="34">
        <f t="shared" si="236"/>
        <v>-563.3279938145834</v>
      </c>
      <c r="F199" s="7">
        <f t="shared" si="237"/>
        <v>-2092.4176136329747</v>
      </c>
      <c r="G199" s="7">
        <f t="shared" si="238"/>
        <v>-1242.4683365655314</v>
      </c>
      <c r="H199" s="7">
        <f t="shared" si="239"/>
        <v>849.9492770674433</v>
      </c>
      <c r="I199" s="32"/>
      <c r="K199" s="4">
        <f>IF(B199&lt;Podsumowanie!E$7,0,K198+1)</f>
        <v>129</v>
      </c>
      <c r="L199" s="100">
        <f t="shared" si="258"/>
        <v>-0.0074</v>
      </c>
      <c r="M199" s="38">
        <f>L199+Podsumowanie!E$6</f>
        <v>0.0046</v>
      </c>
      <c r="N199" s="101">
        <f>MAX(Podsumowanie!E$4+SUM(AA$5:AA198)-SUM(X$5:X199)+SUM(W$5:W199),0)</f>
        <v>125541.45820597334</v>
      </c>
      <c r="O199" s="102">
        <f>MAX(Podsumowanie!E$2+SUM(V$5:V198)-SUM(S$5:S199)+SUM(R$5:R199),0)</f>
        <v>276892.48263867985</v>
      </c>
      <c r="P199" s="39">
        <f t="shared" si="189"/>
        <v>360</v>
      </c>
      <c r="Q199" s="40" t="str">
        <f>IF(AND(K199&gt;0,K199&lt;=Podsumowanie!E$9),"tak","nie")</f>
        <v>nie</v>
      </c>
      <c r="R199" s="41"/>
      <c r="S199" s="42"/>
      <c r="T199" s="88">
        <f t="shared" si="240"/>
        <v>-106.14211834482728</v>
      </c>
      <c r="U199" s="89">
        <f>IF(Q199="tak",T199,IF(P199-SUM(AB$5:AB199)+1&gt;0,IF(Podsumowanie!E$7&lt;B199,IF(SUM(AB$5:AB199)-Podsumowanie!E$9+1&gt;0,PMT(M199/12,P199+1-SUM(AB$5:AB199),O199),T199),0),0))</f>
        <v>-1242.4683365655314</v>
      </c>
      <c r="V199" s="89">
        <f t="shared" si="241"/>
        <v>-1136.326218220704</v>
      </c>
      <c r="W199" s="90" t="str">
        <f>IF(R199&gt;0,R199/(C199*(1-Podsumowanie!E$11))," ")</f>
        <v xml:space="preserve"> </v>
      </c>
      <c r="X199" s="90" t="str">
        <f t="shared" si="171"/>
        <v xml:space="preserve"> </v>
      </c>
      <c r="Y199" s="91">
        <f t="shared" si="242"/>
        <v>-48.12422564562311</v>
      </c>
      <c r="Z199" s="90">
        <f>IF(P199-SUM(AB$5:AB199)+1&gt;0,IF(Podsumowanie!E$7&lt;B199,IF(SUM(AB$5:AB199)-Podsumowanie!E$9+1&gt;0,PMT(M199/12,P199+1-SUM(AB$5:AB199),N199),Y199),0),0)</f>
        <v>-563.3279938145834</v>
      </c>
      <c r="AA199" s="90">
        <f t="shared" si="243"/>
        <v>-515.2037681689602</v>
      </c>
      <c r="AB199" s="8">
        <f>IF(AND(Podsumowanie!E$7&lt;B199,SUM(AB$5:AB198)&lt;P198),1," ")</f>
        <v>1</v>
      </c>
      <c r="AD199" s="10">
        <f>Podsumowanie!E$4-SUM(AF$5:AF198)+SUM(W$42:W199)-SUM(X$42:X199)</f>
        <v>117200.59813555227</v>
      </c>
      <c r="AE199" s="10">
        <f t="shared" si="244"/>
        <v>44.93</v>
      </c>
      <c r="AF199" s="10">
        <f t="shared" si="245"/>
        <v>505.17</v>
      </c>
      <c r="AG199" s="10">
        <f t="shared" si="246"/>
        <v>550.1</v>
      </c>
      <c r="AH199" s="10">
        <f t="shared" si="172"/>
        <v>2043.28</v>
      </c>
      <c r="AI199" s="10">
        <f>Podsumowanie!E$2-SUM(AK$5:AK198)+SUM(R$42:R199)-SUM(S$42:S199)</f>
        <v>258495.55999999982</v>
      </c>
      <c r="AJ199" s="10">
        <f t="shared" si="247"/>
        <v>99.09</v>
      </c>
      <c r="AK199" s="10">
        <f t="shared" si="248"/>
        <v>1114.21</v>
      </c>
      <c r="AL199" s="10">
        <f t="shared" si="249"/>
        <v>1213.3</v>
      </c>
      <c r="AM199" s="10">
        <f t="shared" si="250"/>
        <v>829.98</v>
      </c>
      <c r="AO199" s="43">
        <f t="shared" si="173"/>
        <v>43160</v>
      </c>
      <c r="AP199" s="11">
        <f>AP$5+SUM(AS$5:AS198)-SUM(X$5:X199)+SUM(W$5:W199)</f>
        <v>121775.21445979412</v>
      </c>
      <c r="AQ199" s="10">
        <f t="shared" si="251"/>
        <v>-46.68049887625441</v>
      </c>
      <c r="AR199" s="10">
        <f>IF(AB199=1,IF(Q199="tak",AQ199,PMT(M199/12,P199+1-SUM(AB$5:AB199),AP199)),0)</f>
        <v>-546.4281540001458</v>
      </c>
      <c r="AS199" s="10">
        <f t="shared" si="183"/>
        <v>-499.7476551238914</v>
      </c>
      <c r="AT199" s="10">
        <f t="shared" si="184"/>
        <v>-1970.5292089553257</v>
      </c>
      <c r="AV199" s="11">
        <f>AV$5+SUM(AX$5:AX198)+SUM(W$5:W198)-SUM(X$5:X198)</f>
        <v>113684.4271914858</v>
      </c>
      <c r="AW199" s="11">
        <f t="shared" si="252"/>
        <v>-46.68049887625441</v>
      </c>
      <c r="AX199" s="11">
        <f t="shared" si="253"/>
        <v>-490.02</v>
      </c>
      <c r="AY199" s="11">
        <f t="shared" si="254"/>
        <v>-536.7004988762544</v>
      </c>
      <c r="AZ199" s="11">
        <f t="shared" si="174"/>
        <v>-1935.4493390475486</v>
      </c>
      <c r="BB199" s="191">
        <f t="shared" si="259"/>
        <v>0.0171</v>
      </c>
      <c r="BC199" s="44">
        <f>BB199+Podsumowanie!$E$6</f>
        <v>0.0291</v>
      </c>
      <c r="BD199" s="11">
        <f>BD$5+SUM(BE$5:BE198)+SUM(R$5:R198)-SUM(S$5:S198)</f>
        <v>314556.49622721993</v>
      </c>
      <c r="BE199" s="10">
        <f t="shared" si="255"/>
        <v>-1005.9486476350471</v>
      </c>
      <c r="BF199" s="10">
        <f t="shared" si="256"/>
        <v>-762.7995033510083</v>
      </c>
      <c r="BG199" s="10">
        <f>IF(U199&lt;0,PMT(BC199/12,Podsumowanie!E$8-SUM(AB$5:AB199)+1,BD199),0)</f>
        <v>-1768.7481509860554</v>
      </c>
      <c r="BI199" s="11">
        <f>BI$5+SUM(BK$5:BK198)+SUM(R$5:R198)-SUM(S$5:S198)</f>
        <v>258495.82172701936</v>
      </c>
      <c r="BJ199" s="11">
        <f t="shared" si="213"/>
        <v>-626.8523676880219</v>
      </c>
      <c r="BK199" s="11">
        <f t="shared" si="214"/>
        <v>-1114.2061281337042</v>
      </c>
      <c r="BL199" s="11">
        <f t="shared" si="188"/>
        <v>-1741.058495821726</v>
      </c>
      <c r="BN199" s="44">
        <f t="shared" si="260"/>
        <v>0.0292</v>
      </c>
      <c r="BO199" s="11">
        <f>BO$5+SUM(BP$5:BP198)+SUM(R$5:R198)-SUM(S$5:S198)+SUM(BS$5:BS198)</f>
        <v>329459.56530050596</v>
      </c>
      <c r="BP199" s="10">
        <f aca="true" t="shared" si="269" ref="BP199:BP240">IF(BR199&lt;0,BR199-BQ199,0)</f>
        <v>-1052.4974549047001</v>
      </c>
      <c r="BQ199" s="10">
        <f aca="true" t="shared" si="270" ref="BQ199:BQ240">IF(BR199&lt;0,-BO199*BN199/12,0)</f>
        <v>-801.6849422312312</v>
      </c>
      <c r="BR199" s="10">
        <f>IF(U199&lt;0,PMT(BN199/12,Podsumowanie!E$8-SUM(AB$5:AB199)+1,BO199),0)</f>
        <v>-1854.1823971359313</v>
      </c>
      <c r="BS199" s="10">
        <f t="shared" si="264"/>
        <v>-238.23521649704344</v>
      </c>
      <c r="BU199" s="11">
        <f>BU$5+SUM(BW$5:BW198)+SUM(R$5:R198)-SUM(S$5:S198)+SUM(BY$5,BY198)</f>
        <v>258077.80665790135</v>
      </c>
      <c r="BV199" s="10">
        <f t="shared" si="261"/>
        <v>-627.9893295342266</v>
      </c>
      <c r="BW199" s="10">
        <f t="shared" si="262"/>
        <v>-1112.4043390426782</v>
      </c>
      <c r="BX199" s="10">
        <f aca="true" t="shared" si="271" ref="BX199:BX240">BW199+BV199</f>
        <v>-1740.393668576905</v>
      </c>
      <c r="BY199" s="10">
        <f aca="true" t="shared" si="272" ref="BY199:BY241">$F199-BX199</f>
        <v>-352.0239450560698</v>
      </c>
      <c r="CA199" s="10">
        <f>CA$5+SUM(CB$5:CB198)+SUM(R$5:R198)-SUM(S$5:S198)-SUM(CC$5:CC198)</f>
        <v>303273.1772491849</v>
      </c>
      <c r="CB199" s="10">
        <f t="shared" si="265"/>
        <v>627.9893295342266</v>
      </c>
      <c r="CC199" s="10">
        <f t="shared" si="266"/>
        <v>2092.4176136329747</v>
      </c>
      <c r="CD199" s="10">
        <f t="shared" si="267"/>
        <v>1464.428284098748</v>
      </c>
      <c r="CF199" s="44">
        <f t="shared" si="263"/>
        <v>0.4325</v>
      </c>
      <c r="CG199" s="10">
        <f t="shared" si="268"/>
        <v>-904.97</v>
      </c>
      <c r="CH199" s="4">
        <f aca="true" t="shared" si="273" ref="CH199:CH257">ROUND(R199*CF199,2)</f>
        <v>0</v>
      </c>
    </row>
    <row r="200" spans="1:86" ht="15.75">
      <c r="A200" s="36"/>
      <c r="B200" s="37">
        <v>43191</v>
      </c>
      <c r="C200" s="77">
        <f t="shared" si="257"/>
        <v>3.5305</v>
      </c>
      <c r="D200" s="79">
        <f>C200*(1+Podsumowanie!E$11)</f>
        <v>3.636415</v>
      </c>
      <c r="E200" s="34">
        <f aca="true" t="shared" si="274" ref="E200:E206">Z200</f>
        <v>-563.3279938145834</v>
      </c>
      <c r="F200" s="7">
        <f aca="true" t="shared" si="275" ref="F200:F206">E200*D200</f>
        <v>-2048.494366627258</v>
      </c>
      <c r="G200" s="7">
        <f aca="true" t="shared" si="276" ref="G200:G206">U200</f>
        <v>-1242.4683365655314</v>
      </c>
      <c r="H200" s="7">
        <f aca="true" t="shared" si="277" ref="H200:H206">G200-F200</f>
        <v>806.0260300617265</v>
      </c>
      <c r="I200" s="32"/>
      <c r="K200" s="4">
        <f>IF(B200&lt;Podsumowanie!E$7,0,K199+1)</f>
        <v>130</v>
      </c>
      <c r="L200" s="100">
        <f t="shared" si="258"/>
        <v>-0.0074</v>
      </c>
      <c r="M200" s="38">
        <f>L200+Podsumowanie!E$6</f>
        <v>0.0046</v>
      </c>
      <c r="N200" s="101">
        <f>MAX(Podsumowanie!E$4+SUM(AA$5:AA199)-SUM(X$5:X200)+SUM(W$5:W200),0)</f>
        <v>125026.25443780437</v>
      </c>
      <c r="O200" s="102">
        <f>MAX(Podsumowanie!E$2+SUM(V$5:V199)-SUM(S$5:S200)+SUM(R$5:R200),0)</f>
        <v>275756.15642045916</v>
      </c>
      <c r="P200" s="39">
        <f t="shared" si="189"/>
        <v>360</v>
      </c>
      <c r="Q200" s="40" t="str">
        <f>IF(AND(K200&gt;0,K200&lt;=Podsumowanie!E$9),"tak","nie")</f>
        <v>nie</v>
      </c>
      <c r="R200" s="41"/>
      <c r="S200" s="42"/>
      <c r="T200" s="88">
        <f aca="true" t="shared" si="278" ref="T200:T206">IF(AB200=1,-O200*M200/12,0)</f>
        <v>-105.70652662784268</v>
      </c>
      <c r="U200" s="89">
        <f>IF(Q200="tak",T200,IF(P200-SUM(AB$5:AB200)+1&gt;0,IF(Podsumowanie!E$7&lt;B200,IF(SUM(AB$5:AB200)-Podsumowanie!E$9+1&gt;0,PMT(M200/12,P200+1-SUM(AB$5:AB200),O200),T200),0),0))</f>
        <v>-1242.4683365655314</v>
      </c>
      <c r="V200" s="89">
        <f aca="true" t="shared" si="279" ref="V200:V206">U200-T200</f>
        <v>-1136.7618099376887</v>
      </c>
      <c r="W200" s="90" t="str">
        <f>IF(R200&gt;0,R200/(C200*(1-Podsumowanie!E$11))," ")</f>
        <v xml:space="preserve"> </v>
      </c>
      <c r="X200" s="90" t="str">
        <f t="shared" si="171"/>
        <v xml:space="preserve"> </v>
      </c>
      <c r="Y200" s="91">
        <f aca="true" t="shared" si="280" ref="Y200:Y206">IF(AB200=1,-N200*M200/12,0)</f>
        <v>-47.92673086782501</v>
      </c>
      <c r="Z200" s="90">
        <f>IF(P200-SUM(AB$5:AB200)+1&gt;0,IF(Podsumowanie!E$7&lt;B200,IF(SUM(AB$5:AB200)-Podsumowanie!E$9+1&gt;0,PMT(M200/12,P200+1-SUM(AB$5:AB200),N200),Y200),0),0)</f>
        <v>-563.3279938145834</v>
      </c>
      <c r="AA200" s="90">
        <f aca="true" t="shared" si="281" ref="AA200:AA206">Z200-Y200</f>
        <v>-515.4012629467584</v>
      </c>
      <c r="AB200" s="8">
        <f>IF(AND(Podsumowanie!E$7&lt;B200,SUM(AB$5:AB199)&lt;P199),1," ")</f>
        <v>1</v>
      </c>
      <c r="AD200" s="10">
        <f>Podsumowanie!E$4-SUM(AF$5:AF199)+SUM(W$42:W200)-SUM(X$42:X200)</f>
        <v>116695.42813555227</v>
      </c>
      <c r="AE200" s="10">
        <f aca="true" t="shared" si="282" ref="AE200:AE206">IF(AB200=1,ROUND(AD200*M200/12,2),0)</f>
        <v>44.73</v>
      </c>
      <c r="AF200" s="10">
        <f aca="true" t="shared" si="283" ref="AF200:AF206">IF(Q200="tak",0,IF(AB200=1,ROUND(AD200/(P200-K200+1),2),0))</f>
        <v>505.18</v>
      </c>
      <c r="AG200" s="10">
        <f aca="true" t="shared" si="284" ref="AG200:AG206">AF200+AE200</f>
        <v>549.91</v>
      </c>
      <c r="AH200" s="10">
        <f t="shared" si="172"/>
        <v>1999.7</v>
      </c>
      <c r="AI200" s="10">
        <f>Podsumowanie!E$2-SUM(AK$5:AK199)+SUM(R$42:R200)-SUM(S$42:S200)</f>
        <v>257381.34999999983</v>
      </c>
      <c r="AJ200" s="10">
        <f aca="true" t="shared" si="285" ref="AJ200:AJ206">IF(AB200=1,ROUND(AI200*M200/12,2),0)</f>
        <v>98.66</v>
      </c>
      <c r="AK200" s="10">
        <f aca="true" t="shared" si="286" ref="AK200:AK206">IF(Q200="tak",0,IF(AB200=1,ROUND(AI200/(P200-K200+1),2),0))</f>
        <v>1114.2</v>
      </c>
      <c r="AL200" s="10">
        <f aca="true" t="shared" si="287" ref="AL200:AL206">AK200+AJ200</f>
        <v>1212.8600000000001</v>
      </c>
      <c r="AM200" s="10">
        <f aca="true" t="shared" si="288" ref="AM200:AM206">AH200-AL200</f>
        <v>786.8399999999999</v>
      </c>
      <c r="AO200" s="43">
        <f t="shared" si="173"/>
        <v>43191</v>
      </c>
      <c r="AP200" s="11">
        <f>AP$5+SUM(AS$5:AS199)-SUM(X$5:X200)+SUM(W$5:W200)</f>
        <v>121275.46680467023</v>
      </c>
      <c r="AQ200" s="10">
        <f aca="true" t="shared" si="289" ref="AQ200:AQ206">IF(AB200=1,-AP200*M200/12,0)</f>
        <v>-46.48892894179025</v>
      </c>
      <c r="AR200" s="10">
        <f>IF(AB200=1,IF(Q200="tak",AQ200,PMT(M200/12,P200+1-SUM(AB$5:AB200),AP200)),0)</f>
        <v>-546.4281540001458</v>
      </c>
      <c r="AS200" s="10">
        <f t="shared" si="183"/>
        <v>-499.93922505835553</v>
      </c>
      <c r="AT200" s="10">
        <f t="shared" si="184"/>
        <v>-1929.1645976975149</v>
      </c>
      <c r="AV200" s="11">
        <f>AV$5+SUM(AX$5:AX199)+SUM(W$5:W199)-SUM(X$5:X199)</f>
        <v>113194.4071914858</v>
      </c>
      <c r="AW200" s="11">
        <f aca="true" t="shared" si="290" ref="AW200:AW206">IF(AB200=1,-AP200*M200/12,0)</f>
        <v>-46.48892894179025</v>
      </c>
      <c r="AX200" s="11">
        <f aca="true" t="shared" si="291" ref="AX200:AX206">IF(AB200=1,IF(Q200="tak",0,ROUND(-AV200/(P200-K200+1),2)),0)</f>
        <v>-490.02</v>
      </c>
      <c r="AY200" s="11">
        <f aca="true" t="shared" si="292" ref="AY200:AY206">AX200+AW200</f>
        <v>-536.5089289417903</v>
      </c>
      <c r="AZ200" s="11">
        <f t="shared" si="174"/>
        <v>-1894.1447736289906</v>
      </c>
      <c r="BB200" s="191">
        <f t="shared" si="259"/>
        <v>0.017</v>
      </c>
      <c r="BC200" s="44">
        <f>BB200+Podsumowanie!$E$6</f>
        <v>0.029</v>
      </c>
      <c r="BD200" s="11">
        <f>BD$5+SUM(BE$5:BE199)+SUM(R$5:R199)-SUM(S$5:S199)</f>
        <v>313550.5475795849</v>
      </c>
      <c r="BE200" s="10">
        <f aca="true" t="shared" si="293" ref="BE200:BE206">IF(BG200&lt;0,BG200-BF200,0)</f>
        <v>-1009.4472976958688</v>
      </c>
      <c r="BF200" s="10">
        <f aca="true" t="shared" si="294" ref="BF200:BF206">IF(BG200&lt;0,-BD200*BC200/12,0)</f>
        <v>-757.7471566506634</v>
      </c>
      <c r="BG200" s="10">
        <f>IF(U200&lt;0,PMT(BC200/12,Podsumowanie!E$8-SUM(AB$5:AB200)+1,BD200),0)</f>
        <v>-1767.1944543465322</v>
      </c>
      <c r="BI200" s="11">
        <f>BI$5+SUM(BK$5:BK199)+SUM(R$5:R199)-SUM(S$5:S199)</f>
        <v>257381.61559888566</v>
      </c>
      <c r="BJ200" s="11">
        <f t="shared" si="213"/>
        <v>-622.0055710306405</v>
      </c>
      <c r="BK200" s="11">
        <f t="shared" si="214"/>
        <v>-1114.2061281337042</v>
      </c>
      <c r="BL200" s="11">
        <f t="shared" si="188"/>
        <v>-1736.2116991643447</v>
      </c>
      <c r="BN200" s="44">
        <f t="shared" si="260"/>
        <v>0.0291</v>
      </c>
      <c r="BO200" s="11">
        <f>BO$5+SUM(BP$5:BP199)+SUM(R$5:R199)-SUM(S$5:S199)+SUM(BS$5:BS199)</f>
        <v>328168.83262910426</v>
      </c>
      <c r="BP200" s="10">
        <f t="shared" si="269"/>
        <v>-1055.4009212953783</v>
      </c>
      <c r="BQ200" s="10">
        <f t="shared" si="270"/>
        <v>-795.8094191255778</v>
      </c>
      <c r="BR200" s="10">
        <f>IF(U200&lt;0,PMT(BN200/12,Podsumowanie!E$8-SUM(AB$5:AB200)+1,BO200),0)</f>
        <v>-1851.210340420956</v>
      </c>
      <c r="BS200" s="10">
        <f t="shared" si="264"/>
        <v>-197.28402620630186</v>
      </c>
      <c r="BU200" s="11">
        <f>BU$5+SUM(BW$5:BW199)+SUM(R$5:R199)-SUM(S$5:S199)+SUM(BY$5,BY199)</f>
        <v>256963.35640019653</v>
      </c>
      <c r="BV200" s="10">
        <f t="shared" si="261"/>
        <v>-623.1361392704766</v>
      </c>
      <c r="BW200" s="10">
        <f t="shared" si="262"/>
        <v>-1112.3954822519331</v>
      </c>
      <c r="BX200" s="10">
        <f t="shared" si="271"/>
        <v>-1735.5316215224098</v>
      </c>
      <c r="BY200" s="10">
        <f t="shared" si="272"/>
        <v>-312.9627451048482</v>
      </c>
      <c r="CA200" s="10">
        <f>CA$5+SUM(CB$5:CB199)+SUM(R$5:R199)-SUM(S$5:S199)-SUM(CC$5:CC199)</f>
        <v>301808.7489650862</v>
      </c>
      <c r="CB200" s="10">
        <f t="shared" si="265"/>
        <v>623.1361392704766</v>
      </c>
      <c r="CC200" s="10">
        <f t="shared" si="266"/>
        <v>2048.494366627258</v>
      </c>
      <c r="CD200" s="10">
        <f t="shared" si="267"/>
        <v>1425.3582273567813</v>
      </c>
      <c r="CF200" s="44">
        <f t="shared" si="263"/>
        <v>0.4254</v>
      </c>
      <c r="CG200" s="10">
        <f t="shared" si="268"/>
        <v>-871.43</v>
      </c>
      <c r="CH200" s="4">
        <f t="shared" si="273"/>
        <v>0</v>
      </c>
    </row>
    <row r="201" spans="1:86" ht="15.75">
      <c r="A201" s="36"/>
      <c r="B201" s="37">
        <v>43221</v>
      </c>
      <c r="C201" s="77">
        <f t="shared" si="257"/>
        <v>3.6283</v>
      </c>
      <c r="D201" s="79">
        <f>C201*(1+Podsumowanie!E$11)</f>
        <v>3.737149</v>
      </c>
      <c r="E201" s="34">
        <f t="shared" si="274"/>
        <v>-563.3279938145834</v>
      </c>
      <c r="F201" s="7">
        <f t="shared" si="275"/>
        <v>-2105.2406487561766</v>
      </c>
      <c r="G201" s="7">
        <f t="shared" si="276"/>
        <v>-1242.4683365655314</v>
      </c>
      <c r="H201" s="7">
        <f t="shared" si="277"/>
        <v>862.7723121906452</v>
      </c>
      <c r="I201" s="32"/>
      <c r="K201" s="4">
        <f>IF(B201&lt;Podsumowanie!E$7,0,K200+1)</f>
        <v>131</v>
      </c>
      <c r="L201" s="100">
        <f t="shared" si="258"/>
        <v>-0.0074</v>
      </c>
      <c r="M201" s="38">
        <f>L201+Podsumowanie!E$6</f>
        <v>0.0046</v>
      </c>
      <c r="N201" s="101">
        <f>MAX(Podsumowanie!E$4+SUM(AA$5:AA200)-SUM(X$5:X201)+SUM(W$5:W201),0)</f>
        <v>124510.85317485762</v>
      </c>
      <c r="O201" s="102">
        <f>MAX(Podsumowanie!E$2+SUM(V$5:V200)-SUM(S$5:S201)+SUM(R$5:R201),0)</f>
        <v>274619.39461052144</v>
      </c>
      <c r="P201" s="39">
        <f t="shared" si="189"/>
        <v>360</v>
      </c>
      <c r="Q201" s="40" t="str">
        <f>IF(AND(K201&gt;0,K201&lt;=Podsumowanie!E$9),"tak","nie")</f>
        <v>nie</v>
      </c>
      <c r="R201" s="41"/>
      <c r="S201" s="42"/>
      <c r="T201" s="88">
        <f t="shared" si="278"/>
        <v>-105.27076793403323</v>
      </c>
      <c r="U201" s="89">
        <f>IF(Q201="tak",T201,IF(P201-SUM(AB$5:AB201)+1&gt;0,IF(Podsumowanie!E$7&lt;B201,IF(SUM(AB$5:AB201)-Podsumowanie!E$9+1&gt;0,PMT(M201/12,P201+1-SUM(AB$5:AB201),O201),T201),0),0))</f>
        <v>-1242.4683365655314</v>
      </c>
      <c r="V201" s="89">
        <f t="shared" si="279"/>
        <v>-1137.1975686314981</v>
      </c>
      <c r="W201" s="90" t="str">
        <f>IF(R201&gt;0,R201/(C201*(1-Podsumowanie!E$11))," ")</f>
        <v xml:space="preserve"> </v>
      </c>
      <c r="X201" s="90" t="str">
        <f aca="true" t="shared" si="295" ref="X201:X220">IF(S201&gt;0,S201/D201," ")</f>
        <v xml:space="preserve"> </v>
      </c>
      <c r="Y201" s="91">
        <f t="shared" si="280"/>
        <v>-47.72916038369542</v>
      </c>
      <c r="Z201" s="90">
        <f>IF(P201-SUM(AB$5:AB201)+1&gt;0,IF(Podsumowanie!E$7&lt;B201,IF(SUM(AB$5:AB201)-Podsumowanie!E$9+1&gt;0,PMT(M201/12,P201+1-SUM(AB$5:AB201),N201),Y201),0),0)</f>
        <v>-563.3279938145834</v>
      </c>
      <c r="AA201" s="90">
        <f t="shared" si="281"/>
        <v>-515.5988334308879</v>
      </c>
      <c r="AB201" s="8">
        <f>IF(AND(Podsumowanie!E$7&lt;B201,SUM(AB$5:AB200)&lt;P200),1," ")</f>
        <v>1</v>
      </c>
      <c r="AD201" s="10">
        <f>Podsumowanie!E$4-SUM(AF$5:AF200)+SUM(W$42:W201)-SUM(X$42:X201)</f>
        <v>116190.24813555228</v>
      </c>
      <c r="AE201" s="10">
        <f t="shared" si="282"/>
        <v>44.54</v>
      </c>
      <c r="AF201" s="10">
        <f t="shared" si="283"/>
        <v>505.17</v>
      </c>
      <c r="AG201" s="10">
        <f t="shared" si="284"/>
        <v>549.71</v>
      </c>
      <c r="AH201" s="10">
        <f aca="true" t="shared" si="296" ref="AH201:AH220">ROUND(AG201*D201,2)</f>
        <v>2054.35</v>
      </c>
      <c r="AI201" s="10">
        <f>Podsumowanie!E$2-SUM(AK$5:AK200)+SUM(R$42:R201)-SUM(S$42:S201)</f>
        <v>256267.14999999982</v>
      </c>
      <c r="AJ201" s="10">
        <f t="shared" si="285"/>
        <v>98.24</v>
      </c>
      <c r="AK201" s="10">
        <f t="shared" si="286"/>
        <v>1114.21</v>
      </c>
      <c r="AL201" s="10">
        <f t="shared" si="287"/>
        <v>1212.45</v>
      </c>
      <c r="AM201" s="10">
        <f t="shared" si="288"/>
        <v>841.8999999999999</v>
      </c>
      <c r="AO201" s="43">
        <f aca="true" t="shared" si="297" ref="AO201:AO220">B201</f>
        <v>43221</v>
      </c>
      <c r="AP201" s="11">
        <f>AP$5+SUM(AS$5:AS200)-SUM(X$5:X201)+SUM(W$5:W201)</f>
        <v>120775.52757961187</v>
      </c>
      <c r="AQ201" s="10">
        <f t="shared" si="289"/>
        <v>-46.29728557218454</v>
      </c>
      <c r="AR201" s="10">
        <f>IF(AB201=1,IF(Q201="tak",AQ201,PMT(M201/12,P201+1-SUM(AB$5:AB201),AP201)),0)</f>
        <v>-546.4281540001458</v>
      </c>
      <c r="AS201" s="10">
        <f t="shared" si="183"/>
        <v>-500.1308684279613</v>
      </c>
      <c r="AT201" s="10">
        <f t="shared" si="184"/>
        <v>-1982.605271158729</v>
      </c>
      <c r="AV201" s="11">
        <f>AV$5+SUM(AX$5:AX200)+SUM(W$5:W200)-SUM(X$5:X200)</f>
        <v>112704.3871914858</v>
      </c>
      <c r="AW201" s="11">
        <f t="shared" si="290"/>
        <v>-46.29728557218454</v>
      </c>
      <c r="AX201" s="11">
        <f t="shared" si="291"/>
        <v>-490.02</v>
      </c>
      <c r="AY201" s="11">
        <f t="shared" si="292"/>
        <v>-536.3172855721846</v>
      </c>
      <c r="AZ201" s="11">
        <f aca="true" t="shared" si="298" ref="AZ201:AZ220">AY201*C201</f>
        <v>-1945.9200072415572</v>
      </c>
      <c r="BB201" s="191">
        <f t="shared" si="259"/>
        <v>0.017</v>
      </c>
      <c r="BC201" s="44">
        <f>BB201+Podsumowanie!$E$6</f>
        <v>0.029</v>
      </c>
      <c r="BD201" s="11">
        <f>BD$5+SUM(BE$5:BE200)+SUM(R$5:R200)-SUM(S$5:S200)</f>
        <v>312541.100281889</v>
      </c>
      <c r="BE201" s="10">
        <f t="shared" si="293"/>
        <v>-1011.8867953319673</v>
      </c>
      <c r="BF201" s="10">
        <f t="shared" si="294"/>
        <v>-755.3076590145652</v>
      </c>
      <c r="BG201" s="10">
        <f>IF(U201&lt;0,PMT(BC201/12,Podsumowanie!E$8-SUM(AB$5:AB201)+1,BD201),0)</f>
        <v>-1767.1944543465324</v>
      </c>
      <c r="BI201" s="11">
        <f>BI$5+SUM(BK$5:BK200)+SUM(R$5:R200)-SUM(S$5:S200)</f>
        <v>256267.40947075197</v>
      </c>
      <c r="BJ201" s="11">
        <f t="shared" si="213"/>
        <v>-619.312906220984</v>
      </c>
      <c r="BK201" s="11">
        <f t="shared" si="214"/>
        <v>-1114.2061281337042</v>
      </c>
      <c r="BL201" s="11">
        <f t="shared" si="188"/>
        <v>-1733.5190343546883</v>
      </c>
      <c r="BN201" s="44">
        <f t="shared" si="260"/>
        <v>0.0291</v>
      </c>
      <c r="BO201" s="11">
        <f>BO$5+SUM(BP$5:BP200)+SUM(R$5:R200)-SUM(S$5:S200)+SUM(BS$5:BS200)</f>
        <v>326916.1476816025</v>
      </c>
      <c r="BP201" s="10">
        <f t="shared" si="269"/>
        <v>-1057.3222064962602</v>
      </c>
      <c r="BQ201" s="10">
        <f t="shared" si="270"/>
        <v>-792.7716581278861</v>
      </c>
      <c r="BR201" s="10">
        <f>IF(U201&lt;0,PMT(BN201/12,Podsumowanie!E$8-SUM(AB$5:AB201)+1,BO201),0)</f>
        <v>-1850.0938646241461</v>
      </c>
      <c r="BS201" s="10">
        <f t="shared" si="264"/>
        <v>-255.14678413203046</v>
      </c>
      <c r="BU201" s="11">
        <f>BU$5+SUM(BW$5:BW200)+SUM(R$5:R200)-SUM(S$5:S200)+SUM(BY$5,BY200)</f>
        <v>255890.0221178958</v>
      </c>
      <c r="BV201" s="10">
        <f t="shared" si="261"/>
        <v>-620.5333036358974</v>
      </c>
      <c r="BW201" s="10">
        <f t="shared" si="262"/>
        <v>-1112.5653135560688</v>
      </c>
      <c r="BX201" s="10">
        <f t="shared" si="271"/>
        <v>-1733.0986171919662</v>
      </c>
      <c r="BY201" s="10">
        <f t="shared" si="272"/>
        <v>-372.14203156421036</v>
      </c>
      <c r="CA201" s="10">
        <f>CA$5+SUM(CB$5:CB200)+SUM(R$5:R200)-SUM(S$5:S200)-SUM(CC$5:CC200)</f>
        <v>300383.39073772944</v>
      </c>
      <c r="CB201" s="10">
        <f t="shared" si="265"/>
        <v>620.5333036358974</v>
      </c>
      <c r="CC201" s="10">
        <f t="shared" si="266"/>
        <v>2105.2406487561766</v>
      </c>
      <c r="CD201" s="10">
        <f t="shared" si="267"/>
        <v>1484.7073451202791</v>
      </c>
      <c r="CF201" s="44">
        <f t="shared" si="263"/>
        <v>0.4225</v>
      </c>
      <c r="CG201" s="10">
        <f t="shared" si="268"/>
        <v>-889.46</v>
      </c>
      <c r="CH201" s="4">
        <f t="shared" si="273"/>
        <v>0</v>
      </c>
    </row>
    <row r="202" spans="1:86" ht="15.75">
      <c r="A202" s="36"/>
      <c r="B202" s="37">
        <v>43252</v>
      </c>
      <c r="C202" s="77">
        <f t="shared" si="257"/>
        <v>3.727</v>
      </c>
      <c r="D202" s="79">
        <f>C202*(1+Podsumowanie!E$11)</f>
        <v>3.83881</v>
      </c>
      <c r="E202" s="34">
        <f t="shared" si="274"/>
        <v>-563.3279938145834</v>
      </c>
      <c r="F202" s="7">
        <f t="shared" si="275"/>
        <v>-2162.5091359353605</v>
      </c>
      <c r="G202" s="7">
        <f t="shared" si="276"/>
        <v>-1242.4683365655314</v>
      </c>
      <c r="H202" s="7">
        <f t="shared" si="277"/>
        <v>920.0407993698291</v>
      </c>
      <c r="I202" s="32"/>
      <c r="K202" s="4">
        <f>IF(B202&lt;Podsumowanie!E$7,0,K201+1)</f>
        <v>132</v>
      </c>
      <c r="L202" s="100">
        <f t="shared" si="258"/>
        <v>-0.0074</v>
      </c>
      <c r="M202" s="38">
        <f>L202+Podsumowanie!E$6</f>
        <v>0.0046</v>
      </c>
      <c r="N202" s="101">
        <f>MAX(Podsumowanie!E$4+SUM(AA$5:AA201)-SUM(X$5:X202)+SUM(W$5:W202),0)</f>
        <v>123995.25434142673</v>
      </c>
      <c r="O202" s="102">
        <f>MAX(Podsumowanie!E$2+SUM(V$5:V201)-SUM(S$5:S202)+SUM(R$5:R202),0)</f>
        <v>273482.19704188994</v>
      </c>
      <c r="P202" s="39">
        <f t="shared" si="189"/>
        <v>360</v>
      </c>
      <c r="Q202" s="40" t="str">
        <f>IF(AND(K202&gt;0,K202&lt;=Podsumowanie!E$9),"tak","nie")</f>
        <v>nie</v>
      </c>
      <c r="R202" s="41"/>
      <c r="S202" s="42"/>
      <c r="T202" s="88">
        <f t="shared" si="278"/>
        <v>-104.83484219939113</v>
      </c>
      <c r="U202" s="89">
        <f>IF(Q202="tak",T202,IF(P202-SUM(AB$5:AB202)+1&gt;0,IF(Podsumowanie!E$7&lt;B202,IF(SUM(AB$5:AB202)-Podsumowanie!E$9+1&gt;0,PMT(M202/12,P202+1-SUM(AB$5:AB202),O202),T202),0),0))</f>
        <v>-1242.4683365655314</v>
      </c>
      <c r="V202" s="89">
        <f t="shared" si="279"/>
        <v>-1137.6334943661402</v>
      </c>
      <c r="W202" s="90" t="str">
        <f>IF(R202&gt;0,R202/(C202*(1-Podsumowanie!E$11))," ")</f>
        <v xml:space="preserve"> </v>
      </c>
      <c r="X202" s="90" t="str">
        <f t="shared" si="295"/>
        <v xml:space="preserve"> </v>
      </c>
      <c r="Y202" s="91">
        <f t="shared" si="280"/>
        <v>-47.531514164213576</v>
      </c>
      <c r="Z202" s="90">
        <f>IF(P202-SUM(AB$5:AB202)+1&gt;0,IF(Podsumowanie!E$7&lt;B202,IF(SUM(AB$5:AB202)-Podsumowanie!E$9+1&gt;0,PMT(M202/12,P202+1-SUM(AB$5:AB202),N202),Y202),0),0)</f>
        <v>-563.3279938145834</v>
      </c>
      <c r="AA202" s="90">
        <f t="shared" si="281"/>
        <v>-515.7964796503697</v>
      </c>
      <c r="AB202" s="8">
        <f>IF(AND(Podsumowanie!E$7&lt;B202,SUM(AB$5:AB201)&lt;P201),1," ")</f>
        <v>1</v>
      </c>
      <c r="AD202" s="10">
        <f>Podsumowanie!E$4-SUM(AF$5:AF201)+SUM(W$42:W202)-SUM(X$42:X202)</f>
        <v>115685.07813555226</v>
      </c>
      <c r="AE202" s="10">
        <f t="shared" si="282"/>
        <v>44.35</v>
      </c>
      <c r="AF202" s="10">
        <f t="shared" si="283"/>
        <v>505.18</v>
      </c>
      <c r="AG202" s="10">
        <f t="shared" si="284"/>
        <v>549.53</v>
      </c>
      <c r="AH202" s="10">
        <f t="shared" si="296"/>
        <v>2109.54</v>
      </c>
      <c r="AI202" s="10">
        <f>Podsumowanie!E$2-SUM(AK$5:AK201)+SUM(R$42:R202)-SUM(S$42:S202)</f>
        <v>255152.93999999983</v>
      </c>
      <c r="AJ202" s="10">
        <f t="shared" si="285"/>
        <v>97.81</v>
      </c>
      <c r="AK202" s="10">
        <f t="shared" si="286"/>
        <v>1114.2</v>
      </c>
      <c r="AL202" s="10">
        <f t="shared" si="287"/>
        <v>1212.01</v>
      </c>
      <c r="AM202" s="10">
        <f t="shared" si="288"/>
        <v>897.53</v>
      </c>
      <c r="AO202" s="43">
        <f t="shared" si="297"/>
        <v>43252</v>
      </c>
      <c r="AP202" s="11">
        <f>AP$5+SUM(AS$5:AS201)-SUM(X$5:X202)+SUM(W$5:W202)</f>
        <v>120275.39671118392</v>
      </c>
      <c r="AQ202" s="10">
        <f t="shared" si="289"/>
        <v>-46.10556873928717</v>
      </c>
      <c r="AR202" s="10">
        <f>IF(AB202=1,IF(Q202="tak",AQ202,PMT(M202/12,P202+1-SUM(AB$5:AB202),AP202)),0)</f>
        <v>-546.4281540001458</v>
      </c>
      <c r="AS202" s="10">
        <f t="shared" si="183"/>
        <v>-500.32258526085866</v>
      </c>
      <c r="AT202" s="10">
        <f t="shared" si="184"/>
        <v>-2036.5377299585434</v>
      </c>
      <c r="AV202" s="11">
        <f>AV$5+SUM(AX$5:AX201)+SUM(W$5:W201)-SUM(X$5:X201)</f>
        <v>112214.3671914858</v>
      </c>
      <c r="AW202" s="11">
        <f t="shared" si="290"/>
        <v>-46.10556873928717</v>
      </c>
      <c r="AX202" s="11">
        <f t="shared" si="291"/>
        <v>-490.02</v>
      </c>
      <c r="AY202" s="11">
        <f t="shared" si="292"/>
        <v>-536.1255687392871</v>
      </c>
      <c r="AZ202" s="11">
        <f t="shared" si="298"/>
        <v>-1998.1399946913232</v>
      </c>
      <c r="BB202" s="191">
        <f t="shared" si="259"/>
        <v>0.017</v>
      </c>
      <c r="BC202" s="44">
        <f>BB202+Podsumowanie!$E$6</f>
        <v>0.029</v>
      </c>
      <c r="BD202" s="11">
        <f>BD$5+SUM(BE$5:BE201)+SUM(R$5:R201)-SUM(S$5:S201)</f>
        <v>311529.21348655707</v>
      </c>
      <c r="BE202" s="10">
        <f t="shared" si="293"/>
        <v>-1014.3321884206862</v>
      </c>
      <c r="BF202" s="10">
        <f t="shared" si="294"/>
        <v>-752.8622659258463</v>
      </c>
      <c r="BG202" s="10">
        <f>IF(U202&lt;0,PMT(BC202/12,Podsumowanie!E$8-SUM(AB$5:AB202)+1,BD202),0)</f>
        <v>-1767.1944543465324</v>
      </c>
      <c r="BI202" s="11">
        <f>BI$5+SUM(BK$5:BK201)+SUM(R$5:R201)-SUM(S$5:S201)</f>
        <v>255153.20334261828</v>
      </c>
      <c r="BJ202" s="11">
        <f t="shared" si="213"/>
        <v>-616.6202414113276</v>
      </c>
      <c r="BK202" s="11">
        <f t="shared" si="214"/>
        <v>-1114.2061281337042</v>
      </c>
      <c r="BL202" s="11">
        <f t="shared" si="188"/>
        <v>-1730.8263695450319</v>
      </c>
      <c r="BN202" s="44">
        <f t="shared" si="260"/>
        <v>0.0291</v>
      </c>
      <c r="BO202" s="11">
        <f>BO$5+SUM(BP$5:BP201)+SUM(R$5:R201)-SUM(S$5:S201)+SUM(BS$5:BS201)</f>
        <v>325603.67869097425</v>
      </c>
      <c r="BP202" s="10">
        <f t="shared" si="269"/>
        <v>-1059.0563241418065</v>
      </c>
      <c r="BQ202" s="10">
        <f t="shared" si="270"/>
        <v>-789.5889208256126</v>
      </c>
      <c r="BR202" s="10">
        <f>IF(U202&lt;0,PMT(BN202/12,Podsumowanie!E$8-SUM(AB$5:AB202)+1,BO202),0)</f>
        <v>-1848.645244967419</v>
      </c>
      <c r="BS202" s="10">
        <f t="shared" si="264"/>
        <v>-313.8638909679414</v>
      </c>
      <c r="BU202" s="11">
        <f>BU$5+SUM(BW$5:BW201)+SUM(R$5:R201)-SUM(S$5:S201)+SUM(BY$5,BY201)</f>
        <v>254718.2775178804</v>
      </c>
      <c r="BV202" s="10">
        <f t="shared" si="261"/>
        <v>-617.69182298086</v>
      </c>
      <c r="BW202" s="10">
        <f t="shared" si="262"/>
        <v>-1112.3068887243685</v>
      </c>
      <c r="BX202" s="10">
        <f t="shared" si="271"/>
        <v>-1729.9987117052285</v>
      </c>
      <c r="BY202" s="10">
        <f t="shared" si="272"/>
        <v>-432.510424230132</v>
      </c>
      <c r="CA202" s="10">
        <f>CA$5+SUM(CB$5:CB201)+SUM(R$5:R201)-SUM(S$5:S201)-SUM(CC$5:CC201)</f>
        <v>298898.6833926092</v>
      </c>
      <c r="CB202" s="10">
        <f t="shared" si="265"/>
        <v>617.69182298086</v>
      </c>
      <c r="CC202" s="10">
        <f t="shared" si="266"/>
        <v>2162.5091359353605</v>
      </c>
      <c r="CD202" s="10">
        <f t="shared" si="267"/>
        <v>1544.8173129545005</v>
      </c>
      <c r="CF202" s="44">
        <f t="shared" si="263"/>
        <v>0.4211</v>
      </c>
      <c r="CG202" s="10">
        <f t="shared" si="268"/>
        <v>-910.63</v>
      </c>
      <c r="CH202" s="4">
        <f t="shared" si="273"/>
        <v>0</v>
      </c>
    </row>
    <row r="203" spans="1:86" ht="15.75">
      <c r="A203" s="36"/>
      <c r="B203" s="37">
        <v>43283</v>
      </c>
      <c r="C203" s="77">
        <f t="shared" si="257"/>
        <v>3.7263</v>
      </c>
      <c r="D203" s="79">
        <f>C203*(1+Podsumowanie!E$11)</f>
        <v>3.838089</v>
      </c>
      <c r="E203" s="34">
        <f t="shared" si="274"/>
        <v>-563.3279938145834</v>
      </c>
      <c r="F203" s="7">
        <f t="shared" si="275"/>
        <v>-2162.1029764518203</v>
      </c>
      <c r="G203" s="7">
        <f t="shared" si="276"/>
        <v>-1242.4683365655312</v>
      </c>
      <c r="H203" s="7">
        <f t="shared" si="277"/>
        <v>919.634639886289</v>
      </c>
      <c r="I203" s="32"/>
      <c r="K203" s="4">
        <f>IF(B203&lt;Podsumowanie!E$7,0,K202+1)</f>
        <v>133</v>
      </c>
      <c r="L203" s="100">
        <f t="shared" si="258"/>
        <v>-0.0074</v>
      </c>
      <c r="M203" s="38">
        <f>L203+Podsumowanie!E$6</f>
        <v>0.0046</v>
      </c>
      <c r="N203" s="101">
        <f>MAX(Podsumowanie!E$4+SUM(AA$5:AA202)-SUM(X$5:X203)+SUM(W$5:W203),0)</f>
        <v>123479.45786177635</v>
      </c>
      <c r="O203" s="102">
        <f>MAX(Podsumowanie!E$2+SUM(V$5:V202)-SUM(S$5:S203)+SUM(R$5:R203),0)</f>
        <v>272344.5635475238</v>
      </c>
      <c r="P203" s="39">
        <f t="shared" si="189"/>
        <v>360</v>
      </c>
      <c r="Q203" s="40" t="str">
        <f>IF(AND(K203&gt;0,K203&lt;=Podsumowanie!E$9),"tak","nie")</f>
        <v>nie</v>
      </c>
      <c r="R203" s="41"/>
      <c r="S203" s="42"/>
      <c r="T203" s="88">
        <f t="shared" si="278"/>
        <v>-104.39874935988412</v>
      </c>
      <c r="U203" s="89">
        <f>IF(Q203="tak",T203,IF(P203-SUM(AB$5:AB203)+1&gt;0,IF(Podsumowanie!E$7&lt;B203,IF(SUM(AB$5:AB203)-Podsumowanie!E$9+1&gt;0,PMT(M203/12,P203+1-SUM(AB$5:AB203),O203),T203),0),0))</f>
        <v>-1242.4683365655312</v>
      </c>
      <c r="V203" s="89">
        <f t="shared" si="279"/>
        <v>-1138.0695872056472</v>
      </c>
      <c r="W203" s="90" t="str">
        <f>IF(R203&gt;0,R203/(C203*(1-Podsumowanie!E$11))," ")</f>
        <v xml:space="preserve"> </v>
      </c>
      <c r="X203" s="90" t="str">
        <f t="shared" si="295"/>
        <v xml:space="preserve"> </v>
      </c>
      <c r="Y203" s="91">
        <f t="shared" si="280"/>
        <v>-47.333792180347594</v>
      </c>
      <c r="Z203" s="90">
        <f>IF(P203-SUM(AB$5:AB203)+1&gt;0,IF(Podsumowanie!E$7&lt;B203,IF(SUM(AB$5:AB203)-Podsumowanie!E$9+1&gt;0,PMT(M203/12,P203+1-SUM(AB$5:AB203),N203),Y203),0),0)</f>
        <v>-563.3279938145834</v>
      </c>
      <c r="AA203" s="90">
        <f t="shared" si="281"/>
        <v>-515.9942016342358</v>
      </c>
      <c r="AB203" s="8">
        <f>IF(AND(Podsumowanie!E$7&lt;B203,SUM(AB$5:AB202)&lt;P202),1," ")</f>
        <v>1</v>
      </c>
      <c r="AD203" s="10">
        <f>Podsumowanie!E$4-SUM(AF$5:AF202)+SUM(W$42:W203)-SUM(X$42:X203)</f>
        <v>115179.89813555227</v>
      </c>
      <c r="AE203" s="10">
        <f t="shared" si="282"/>
        <v>44.15</v>
      </c>
      <c r="AF203" s="10">
        <f t="shared" si="283"/>
        <v>505.17</v>
      </c>
      <c r="AG203" s="10">
        <f t="shared" si="284"/>
        <v>549.32</v>
      </c>
      <c r="AH203" s="10">
        <f t="shared" si="296"/>
        <v>2108.34</v>
      </c>
      <c r="AI203" s="10">
        <f>Podsumowanie!E$2-SUM(AK$5:AK202)+SUM(R$42:R203)-SUM(S$42:S203)</f>
        <v>254038.73999999982</v>
      </c>
      <c r="AJ203" s="10">
        <f t="shared" si="285"/>
        <v>97.38</v>
      </c>
      <c r="AK203" s="10">
        <f t="shared" si="286"/>
        <v>1114.21</v>
      </c>
      <c r="AL203" s="10">
        <f t="shared" si="287"/>
        <v>1211.5900000000001</v>
      </c>
      <c r="AM203" s="10">
        <f t="shared" si="288"/>
        <v>896.75</v>
      </c>
      <c r="AO203" s="43">
        <f t="shared" si="297"/>
        <v>43283</v>
      </c>
      <c r="AP203" s="11">
        <f>AP$5+SUM(AS$5:AS202)-SUM(X$5:X203)+SUM(W$5:W203)</f>
        <v>119775.07412592304</v>
      </c>
      <c r="AQ203" s="10">
        <f t="shared" si="289"/>
        <v>-45.91377841493716</v>
      </c>
      <c r="AR203" s="10">
        <f>IF(AB203=1,IF(Q203="tak",AQ203,PMT(M203/12,P203+1-SUM(AB$5:AB203),AP203)),0)</f>
        <v>-546.4281540001457</v>
      </c>
      <c r="AS203" s="10">
        <f aca="true" t="shared" si="299" ref="AS203:AS208">AR203-AQ203</f>
        <v>-500.51437558520854</v>
      </c>
      <c r="AT203" s="10">
        <f t="shared" si="184"/>
        <v>-2036.155230250743</v>
      </c>
      <c r="AV203" s="11">
        <f>AV$5+SUM(AX$5:AX202)+SUM(W$5:W202)-SUM(X$5:X202)</f>
        <v>111724.34719148581</v>
      </c>
      <c r="AW203" s="11">
        <f t="shared" si="290"/>
        <v>-45.91377841493716</v>
      </c>
      <c r="AX203" s="11">
        <f t="shared" si="291"/>
        <v>-490.02</v>
      </c>
      <c r="AY203" s="11">
        <f t="shared" si="292"/>
        <v>-535.9337784149371</v>
      </c>
      <c r="AZ203" s="11">
        <f t="shared" si="298"/>
        <v>-1997.0500385075804</v>
      </c>
      <c r="BB203" s="191">
        <f t="shared" si="259"/>
        <v>0.017</v>
      </c>
      <c r="BC203" s="44">
        <f>BB203+Podsumowanie!$E$6</f>
        <v>0.029</v>
      </c>
      <c r="BD203" s="11">
        <f>BD$5+SUM(BE$5:BE202)+SUM(R$5:R202)-SUM(S$5:S202)</f>
        <v>310514.8812981364</v>
      </c>
      <c r="BE203" s="10">
        <f t="shared" si="293"/>
        <v>-1016.7834912093695</v>
      </c>
      <c r="BF203" s="10">
        <f t="shared" si="294"/>
        <v>-750.410963137163</v>
      </c>
      <c r="BG203" s="10">
        <f>IF(U203&lt;0,PMT(BC203/12,Podsumowanie!E$8-SUM(AB$5:AB203)+1,BD203),0)</f>
        <v>-1767.1944543465324</v>
      </c>
      <c r="BI203" s="11">
        <f>BI$5+SUM(BK$5:BK202)+SUM(R$5:R202)-SUM(S$5:S202)</f>
        <v>254038.99721448458</v>
      </c>
      <c r="BJ203" s="11">
        <f t="shared" si="213"/>
        <v>-613.9275766016711</v>
      </c>
      <c r="BK203" s="11">
        <f t="shared" si="214"/>
        <v>-1114.2061281337044</v>
      </c>
      <c r="BL203" s="11">
        <f t="shared" si="188"/>
        <v>-1728.1337047353754</v>
      </c>
      <c r="BN203" s="44">
        <f t="shared" si="260"/>
        <v>0.0291</v>
      </c>
      <c r="BO203" s="11">
        <f>BO$5+SUM(BP$5:BP202)+SUM(R$5:R202)-SUM(S$5:S202)+SUM(BS$5:BS202)</f>
        <v>324230.7584758645</v>
      </c>
      <c r="BP203" s="10">
        <f t="shared" si="269"/>
        <v>-1060.5978491505148</v>
      </c>
      <c r="BQ203" s="10">
        <f t="shared" si="270"/>
        <v>-786.2595893039714</v>
      </c>
      <c r="BR203" s="10">
        <f>IF(U203&lt;0,PMT(BN203/12,Podsumowanie!E$8-SUM(AB$5:AB203)+1,BO203),0)</f>
        <v>-1846.857438454486</v>
      </c>
      <c r="BS203" s="10">
        <f t="shared" si="264"/>
        <v>-315.24553799733417</v>
      </c>
      <c r="BU203" s="11">
        <f>BU$5+SUM(BW$5:BW202)+SUM(R$5:R202)-SUM(S$5:S202)+SUM(BY$5,BY202)</f>
        <v>253545.60223649011</v>
      </c>
      <c r="BV203" s="10">
        <f t="shared" si="261"/>
        <v>-614.8480854234886</v>
      </c>
      <c r="BW203" s="10">
        <f t="shared" si="262"/>
        <v>-1112.042115072325</v>
      </c>
      <c r="BX203" s="10">
        <f t="shared" si="271"/>
        <v>-1726.8902004958136</v>
      </c>
      <c r="BY203" s="10">
        <f t="shared" si="272"/>
        <v>-435.2127759560067</v>
      </c>
      <c r="CA203" s="10">
        <f>CA$5+SUM(CB$5:CB202)+SUM(R$5:R202)-SUM(S$5:S202)-SUM(CC$5:CC202)</f>
        <v>297353.8660796547</v>
      </c>
      <c r="CB203" s="10">
        <f t="shared" si="265"/>
        <v>614.8480854234886</v>
      </c>
      <c r="CC203" s="10">
        <f t="shared" si="266"/>
        <v>2162.1029764518203</v>
      </c>
      <c r="CD203" s="10">
        <f t="shared" si="267"/>
        <v>1547.2548910283317</v>
      </c>
      <c r="CF203" s="44">
        <f t="shared" si="263"/>
        <v>0.4239</v>
      </c>
      <c r="CG203" s="10">
        <f t="shared" si="268"/>
        <v>-916.52</v>
      </c>
      <c r="CH203" s="4">
        <f t="shared" si="273"/>
        <v>0</v>
      </c>
    </row>
    <row r="204" spans="1:86" ht="15.75">
      <c r="A204" s="36"/>
      <c r="B204" s="37">
        <v>43315</v>
      </c>
      <c r="C204" s="77">
        <f t="shared" si="257"/>
        <v>3.7566</v>
      </c>
      <c r="D204" s="79">
        <f>C204*(1+Podsumowanie!E$11)</f>
        <v>3.869298</v>
      </c>
      <c r="E204" s="34">
        <f t="shared" si="274"/>
        <v>-563.3279938145834</v>
      </c>
      <c r="F204" s="7">
        <f t="shared" si="275"/>
        <v>-2179.6838798107797</v>
      </c>
      <c r="G204" s="7">
        <f t="shared" si="276"/>
        <v>-1242.4683365655314</v>
      </c>
      <c r="H204" s="7">
        <f t="shared" si="277"/>
        <v>937.2155432452482</v>
      </c>
      <c r="I204" s="32"/>
      <c r="K204" s="4">
        <f>IF(B204&lt;Podsumowanie!E$7,0,K203+1)</f>
        <v>134</v>
      </c>
      <c r="L204" s="100">
        <f t="shared" si="258"/>
        <v>-0.0074</v>
      </c>
      <c r="M204" s="38">
        <f>L204+Podsumowanie!E$6</f>
        <v>0.0046</v>
      </c>
      <c r="N204" s="101">
        <f>MAX(Podsumowanie!E$4+SUM(AA$5:AA203)-SUM(X$5:X204)+SUM(W$5:W204),0)</f>
        <v>122963.46366014212</v>
      </c>
      <c r="O204" s="102">
        <f>MAX(Podsumowanie!E$2+SUM(V$5:V203)-SUM(S$5:S204)+SUM(R$5:R204),0)</f>
        <v>271206.49396031816</v>
      </c>
      <c r="P204" s="39">
        <f t="shared" si="189"/>
        <v>360</v>
      </c>
      <c r="Q204" s="40" t="str">
        <f>IF(AND(K204&gt;0,K204&lt;=Podsumowanie!E$9),"tak","nie")</f>
        <v>nie</v>
      </c>
      <c r="R204" s="41"/>
      <c r="S204" s="42"/>
      <c r="T204" s="88">
        <f t="shared" si="278"/>
        <v>-103.96248935145529</v>
      </c>
      <c r="U204" s="89">
        <f>IF(Q204="tak",T204,IF(P204-SUM(AB$5:AB204)+1&gt;0,IF(Podsumowanie!E$7&lt;B204,IF(SUM(AB$5:AB204)-Podsumowanie!E$9+1&gt;0,PMT(M204/12,P204+1-SUM(AB$5:AB204),O204),T204),0),0))</f>
        <v>-1242.4683365655314</v>
      </c>
      <c r="V204" s="89">
        <f t="shared" si="279"/>
        <v>-1138.505847214076</v>
      </c>
      <c r="W204" s="90" t="str">
        <f>IF(R204&gt;0,R204/(C204*(1-Podsumowanie!E$11))," ")</f>
        <v xml:space="preserve"> </v>
      </c>
      <c r="X204" s="90" t="str">
        <f t="shared" si="295"/>
        <v xml:space="preserve"> </v>
      </c>
      <c r="Y204" s="91">
        <f t="shared" si="280"/>
        <v>-47.135994403054475</v>
      </c>
      <c r="Z204" s="90">
        <f>IF(P204-SUM(AB$5:AB204)+1&gt;0,IF(Podsumowanie!E$7&lt;B204,IF(SUM(AB$5:AB204)-Podsumowanie!E$9+1&gt;0,PMT(M204/12,P204+1-SUM(AB$5:AB204),N204),Y204),0),0)</f>
        <v>-563.3279938145834</v>
      </c>
      <c r="AA204" s="90">
        <f t="shared" si="281"/>
        <v>-516.1919994115289</v>
      </c>
      <c r="AB204" s="8">
        <f>IF(AND(Podsumowanie!E$7&lt;B204,SUM(AB$5:AB203)&lt;P203),1," ")</f>
        <v>1</v>
      </c>
      <c r="AD204" s="10">
        <f>Podsumowanie!E$4-SUM(AF$5:AF203)+SUM(W$42:W204)-SUM(X$42:X204)</f>
        <v>114674.72813555227</v>
      </c>
      <c r="AE204" s="10">
        <f t="shared" si="282"/>
        <v>43.96</v>
      </c>
      <c r="AF204" s="10">
        <f t="shared" si="283"/>
        <v>505.18</v>
      </c>
      <c r="AG204" s="10">
        <f t="shared" si="284"/>
        <v>549.14</v>
      </c>
      <c r="AH204" s="10">
        <f t="shared" si="296"/>
        <v>2124.79</v>
      </c>
      <c r="AI204" s="10">
        <f>Podsumowanie!E$2-SUM(AK$5:AK203)+SUM(R$42:R204)-SUM(S$42:S204)</f>
        <v>252924.52999999982</v>
      </c>
      <c r="AJ204" s="10">
        <f t="shared" si="285"/>
        <v>96.95</v>
      </c>
      <c r="AK204" s="10">
        <f t="shared" si="286"/>
        <v>1114.2</v>
      </c>
      <c r="AL204" s="10">
        <f t="shared" si="287"/>
        <v>1211.15</v>
      </c>
      <c r="AM204" s="10">
        <f t="shared" si="288"/>
        <v>913.6399999999999</v>
      </c>
      <c r="AO204" s="43">
        <f t="shared" si="297"/>
        <v>43315</v>
      </c>
      <c r="AP204" s="11">
        <f>AP$5+SUM(AS$5:AS203)-SUM(X$5:X204)+SUM(W$5:W204)</f>
        <v>119274.55975033784</v>
      </c>
      <c r="AQ204" s="10">
        <f t="shared" si="289"/>
        <v>-45.72191457096284</v>
      </c>
      <c r="AR204" s="10">
        <f>IF(AB204=1,IF(Q204="tak",AQ204,PMT(M204/12,P204+1-SUM(AB$5:AB204),AP204)),0)</f>
        <v>-546.4281540001458</v>
      </c>
      <c r="AS204" s="10">
        <f t="shared" si="299"/>
        <v>-500.706239429183</v>
      </c>
      <c r="AT204" s="10">
        <f t="shared" si="184"/>
        <v>-2052.7120033169476</v>
      </c>
      <c r="AV204" s="11">
        <f>AV$5+SUM(AX$5:AX203)+SUM(W$5:W203)-SUM(X$5:X203)</f>
        <v>111234.32719148582</v>
      </c>
      <c r="AW204" s="11">
        <f t="shared" si="290"/>
        <v>-45.72191457096284</v>
      </c>
      <c r="AX204" s="11">
        <f t="shared" si="291"/>
        <v>-490.02</v>
      </c>
      <c r="AY204" s="11">
        <f t="shared" si="292"/>
        <v>-535.7419145709628</v>
      </c>
      <c r="AZ204" s="11">
        <f t="shared" si="298"/>
        <v>-2012.5680762772788</v>
      </c>
      <c r="BB204" s="191">
        <f t="shared" si="259"/>
        <v>0.017</v>
      </c>
      <c r="BC204" s="44">
        <f>BB204+Podsumowanie!$E$6</f>
        <v>0.029</v>
      </c>
      <c r="BD204" s="11">
        <f>BD$5+SUM(BE$5:BE203)+SUM(R$5:R203)-SUM(S$5:S203)</f>
        <v>309498.09780692705</v>
      </c>
      <c r="BE204" s="10">
        <f t="shared" si="293"/>
        <v>-1019.2407179797925</v>
      </c>
      <c r="BF204" s="10">
        <f t="shared" si="294"/>
        <v>-747.9537363667404</v>
      </c>
      <c r="BG204" s="10">
        <f>IF(U204&lt;0,PMT(BC204/12,Podsumowanie!E$8-SUM(AB$5:AB204)+1,BD204),0)</f>
        <v>-1767.194454346533</v>
      </c>
      <c r="BI204" s="11">
        <f>BI$5+SUM(BK$5:BK203)+SUM(R$5:R203)-SUM(S$5:S203)</f>
        <v>252924.7910863509</v>
      </c>
      <c r="BJ204" s="11">
        <f t="shared" si="213"/>
        <v>-611.2349117920147</v>
      </c>
      <c r="BK204" s="11">
        <f t="shared" si="214"/>
        <v>-1114.2061281337044</v>
      </c>
      <c r="BL204" s="11">
        <f t="shared" si="188"/>
        <v>-1725.441039925719</v>
      </c>
      <c r="BN204" s="44">
        <f t="shared" si="260"/>
        <v>0.0291</v>
      </c>
      <c r="BO204" s="11">
        <f>BO$5+SUM(BP$5:BP203)+SUM(R$5:R203)-SUM(S$5:S203)+SUM(BS$5:BS203)</f>
        <v>322854.91508871666</v>
      </c>
      <c r="BP204" s="10">
        <f t="shared" si="269"/>
        <v>-1062.1326996722055</v>
      </c>
      <c r="BQ204" s="10">
        <f t="shared" si="270"/>
        <v>-782.9231690901379</v>
      </c>
      <c r="BR204" s="10">
        <f>IF(U204&lt;0,PMT(BN204/12,Podsumowanie!E$8-SUM(AB$5:AB204)+1,BO204),0)</f>
        <v>-1845.0558687623434</v>
      </c>
      <c r="BS204" s="10">
        <f t="shared" si="264"/>
        <v>-334.6280110484363</v>
      </c>
      <c r="BU204" s="11">
        <f>BU$5+SUM(BW$5:BW203)+SUM(R$5:R203)-SUM(S$5:S203)+SUM(BY$5,BY203)</f>
        <v>252430.85776969194</v>
      </c>
      <c r="BV204" s="10">
        <f t="shared" si="261"/>
        <v>-612.144830091503</v>
      </c>
      <c r="BW204" s="10">
        <f t="shared" si="262"/>
        <v>-1112.0302104391715</v>
      </c>
      <c r="BX204" s="10">
        <f t="shared" si="271"/>
        <v>-1724.1750405306743</v>
      </c>
      <c r="BY204" s="10">
        <f t="shared" si="272"/>
        <v>-455.50883928010535</v>
      </c>
      <c r="CA204" s="10">
        <f>CA$5+SUM(CB$5:CB203)+SUM(R$5:R203)-SUM(S$5:S203)-SUM(CC$5:CC203)</f>
        <v>295806.6111886264</v>
      </c>
      <c r="CB204" s="10">
        <f t="shared" si="265"/>
        <v>612.144830091503</v>
      </c>
      <c r="CC204" s="10">
        <f t="shared" si="266"/>
        <v>2179.6838798107797</v>
      </c>
      <c r="CD204" s="10">
        <f t="shared" si="267"/>
        <v>1567.5390497192766</v>
      </c>
      <c r="CF204" s="44">
        <f t="shared" si="263"/>
        <v>0.4239</v>
      </c>
      <c r="CG204" s="10">
        <f t="shared" si="268"/>
        <v>-923.97</v>
      </c>
      <c r="CH204" s="4">
        <f t="shared" si="273"/>
        <v>0</v>
      </c>
    </row>
    <row r="205" spans="1:86" ht="15.75">
      <c r="A205" s="36"/>
      <c r="B205" s="37">
        <v>43347</v>
      </c>
      <c r="C205" s="77">
        <f t="shared" si="257"/>
        <v>3.8086</v>
      </c>
      <c r="D205" s="79">
        <f>C205*(1+Podsumowanie!E$11)</f>
        <v>3.922858</v>
      </c>
      <c r="E205" s="34">
        <f t="shared" si="274"/>
        <v>-563.3279938145834</v>
      </c>
      <c r="F205" s="7">
        <f t="shared" si="275"/>
        <v>-2209.855727159489</v>
      </c>
      <c r="G205" s="7">
        <f t="shared" si="276"/>
        <v>-1242.4683365655312</v>
      </c>
      <c r="H205" s="7">
        <f t="shared" si="277"/>
        <v>967.3873905939579</v>
      </c>
      <c r="I205" s="32"/>
      <c r="K205" s="4">
        <f>IF(B205&lt;Podsumowanie!E$7,0,K204+1)</f>
        <v>135</v>
      </c>
      <c r="L205" s="100">
        <f t="shared" si="258"/>
        <v>-0.0074</v>
      </c>
      <c r="M205" s="38">
        <f>L205+Podsumowanie!E$6</f>
        <v>0.0046</v>
      </c>
      <c r="N205" s="101">
        <f>MAX(Podsumowanie!E$4+SUM(AA$5:AA204)-SUM(X$5:X205)+SUM(W$5:W205),0)</f>
        <v>122447.27166073059</v>
      </c>
      <c r="O205" s="102">
        <f>MAX(Podsumowanie!E$2+SUM(V$5:V204)-SUM(S$5:S205)+SUM(R$5:R205),0)</f>
        <v>270067.9881131041</v>
      </c>
      <c r="P205" s="39">
        <f t="shared" si="189"/>
        <v>360</v>
      </c>
      <c r="Q205" s="40" t="str">
        <f>IF(AND(K205&gt;0,K205&lt;=Podsumowanie!E$9),"tak","nie")</f>
        <v>nie</v>
      </c>
      <c r="R205" s="41"/>
      <c r="S205" s="42"/>
      <c r="T205" s="88">
        <f t="shared" si="278"/>
        <v>-103.52606211002323</v>
      </c>
      <c r="U205" s="89">
        <f>IF(Q205="tak",T205,IF(P205-SUM(AB$5:AB205)+1&gt;0,IF(Podsumowanie!E$7&lt;B205,IF(SUM(AB$5:AB205)-Podsumowanie!E$9+1&gt;0,PMT(M205/12,P205+1-SUM(AB$5:AB205),O205),T205),0),0))</f>
        <v>-1242.4683365655312</v>
      </c>
      <c r="V205" s="89">
        <f t="shared" si="279"/>
        <v>-1138.942274455508</v>
      </c>
      <c r="W205" s="90" t="str">
        <f>IF(R205&gt;0,R205/(C205*(1-Podsumowanie!E$11))," ")</f>
        <v xml:space="preserve"> </v>
      </c>
      <c r="X205" s="90" t="str">
        <f t="shared" si="295"/>
        <v xml:space="preserve"> </v>
      </c>
      <c r="Y205" s="91">
        <f t="shared" si="280"/>
        <v>-46.938120803280064</v>
      </c>
      <c r="Z205" s="90">
        <f>IF(P205-SUM(AB$5:AB205)+1&gt;0,IF(Podsumowanie!E$7&lt;B205,IF(SUM(AB$5:AB205)-Podsumowanie!E$9+1&gt;0,PMT(M205/12,P205+1-SUM(AB$5:AB205),N205),Y205),0),0)</f>
        <v>-563.3279938145834</v>
      </c>
      <c r="AA205" s="90">
        <f t="shared" si="281"/>
        <v>-516.3898730113033</v>
      </c>
      <c r="AB205" s="8">
        <f>IF(AND(Podsumowanie!E$7&lt;B205,SUM(AB$5:AB204)&lt;P204),1," ")</f>
        <v>1</v>
      </c>
      <c r="AD205" s="10">
        <f>Podsumowanie!E$4-SUM(AF$5:AF204)+SUM(W$42:W205)-SUM(X$42:X205)</f>
        <v>114169.54813555228</v>
      </c>
      <c r="AE205" s="10">
        <f t="shared" si="282"/>
        <v>43.76</v>
      </c>
      <c r="AF205" s="10">
        <f t="shared" si="283"/>
        <v>505.17</v>
      </c>
      <c r="AG205" s="10">
        <f t="shared" si="284"/>
        <v>548.9300000000001</v>
      </c>
      <c r="AH205" s="10">
        <f t="shared" si="296"/>
        <v>2153.37</v>
      </c>
      <c r="AI205" s="10">
        <f>Podsumowanie!E$2-SUM(AK$5:AK204)+SUM(R$42:R205)-SUM(S$42:S205)</f>
        <v>251810.3299999998</v>
      </c>
      <c r="AJ205" s="10">
        <f t="shared" si="285"/>
        <v>96.53</v>
      </c>
      <c r="AK205" s="10">
        <f t="shared" si="286"/>
        <v>1114.21</v>
      </c>
      <c r="AL205" s="10">
        <f t="shared" si="287"/>
        <v>1210.74</v>
      </c>
      <c r="AM205" s="10">
        <f t="shared" si="288"/>
        <v>942.6299999999999</v>
      </c>
      <c r="AO205" s="43">
        <f t="shared" si="297"/>
        <v>43347</v>
      </c>
      <c r="AP205" s="11">
        <f>AP$5+SUM(AS$5:AS204)-SUM(X$5:X205)+SUM(W$5:W205)</f>
        <v>118773.85351090865</v>
      </c>
      <c r="AQ205" s="10">
        <f t="shared" si="289"/>
        <v>-45.52997717918165</v>
      </c>
      <c r="AR205" s="10">
        <f>IF(AB205=1,IF(Q205="tak",AQ205,PMT(M205/12,P205+1-SUM(AB$5:AB205),AP205)),0)</f>
        <v>-546.4281540001457</v>
      </c>
      <c r="AS205" s="10">
        <f t="shared" si="299"/>
        <v>-500.89817682096407</v>
      </c>
      <c r="AT205" s="10">
        <f t="shared" si="184"/>
        <v>-2081.126267324955</v>
      </c>
      <c r="AV205" s="11">
        <f>AV$5+SUM(AX$5:AX204)+SUM(W$5:W204)-SUM(X$5:X204)</f>
        <v>110744.30719148582</v>
      </c>
      <c r="AW205" s="11">
        <f t="shared" si="290"/>
        <v>-45.52997717918165</v>
      </c>
      <c r="AX205" s="11">
        <f t="shared" si="291"/>
        <v>-490.02</v>
      </c>
      <c r="AY205" s="11">
        <f t="shared" si="292"/>
        <v>-535.5499771791816</v>
      </c>
      <c r="AZ205" s="11">
        <f t="shared" si="298"/>
        <v>-2039.6956430846312</v>
      </c>
      <c r="BB205" s="191">
        <f t="shared" si="259"/>
        <v>0.0172</v>
      </c>
      <c r="BC205" s="44">
        <f>BB205+Podsumowanie!$E$6</f>
        <v>0.0292</v>
      </c>
      <c r="BD205" s="11">
        <f>BD$5+SUM(BE$5:BE204)+SUM(R$5:R204)-SUM(S$5:S204)</f>
        <v>308478.8570889472</v>
      </c>
      <c r="BE205" s="10">
        <f t="shared" si="293"/>
        <v>-1019.6106871168828</v>
      </c>
      <c r="BF205" s="10">
        <f t="shared" si="294"/>
        <v>-750.6318855831049</v>
      </c>
      <c r="BG205" s="10">
        <f>IF(U205&lt;0,PMT(BC205/12,Podsumowanie!E$8-SUM(AB$5:AB205)+1,BD205),0)</f>
        <v>-1770.2425726999877</v>
      </c>
      <c r="BI205" s="11">
        <f>BI$5+SUM(BK$5:BK204)+SUM(R$5:R204)-SUM(S$5:S204)</f>
        <v>251810.5849582172</v>
      </c>
      <c r="BJ205" s="11">
        <f t="shared" si="213"/>
        <v>-612.7390900649951</v>
      </c>
      <c r="BK205" s="11">
        <f t="shared" si="214"/>
        <v>-1114.2061281337044</v>
      </c>
      <c r="BL205" s="11">
        <f t="shared" si="188"/>
        <v>-1726.9452181986994</v>
      </c>
      <c r="BN205" s="44">
        <f t="shared" si="260"/>
        <v>0.0293</v>
      </c>
      <c r="BO205" s="11">
        <f>BO$5+SUM(BP$5:BP204)+SUM(R$5:R204)-SUM(S$5:S204)+SUM(BS$5:BS204)</f>
        <v>321458.154377996</v>
      </c>
      <c r="BP205" s="10">
        <f t="shared" si="269"/>
        <v>-1061.4215608208315</v>
      </c>
      <c r="BQ205" s="10">
        <f t="shared" si="270"/>
        <v>-784.8936602729401</v>
      </c>
      <c r="BR205" s="10">
        <f>IF(U205&lt;0,PMT(BN205/12,Podsumowanie!E$8-SUM(AB$5:AB205)+1,BO205),0)</f>
        <v>-1846.3152210937717</v>
      </c>
      <c r="BS205" s="10">
        <f t="shared" si="264"/>
        <v>-363.5405060657174</v>
      </c>
      <c r="BU205" s="11">
        <f>BU$5+SUM(BW$5:BW204)+SUM(R$5:R204)-SUM(S$5:S204)+SUM(BY$5,BY204)</f>
        <v>251298.53149592865</v>
      </c>
      <c r="BV205" s="10">
        <f t="shared" si="261"/>
        <v>-613.5872477358924</v>
      </c>
      <c r="BW205" s="10">
        <f t="shared" si="262"/>
        <v>-1111.9404048492418</v>
      </c>
      <c r="BX205" s="10">
        <f t="shared" si="271"/>
        <v>-1725.527652585134</v>
      </c>
      <c r="BY205" s="10">
        <f t="shared" si="272"/>
        <v>-484.328074574355</v>
      </c>
      <c r="CA205" s="10">
        <f>CA$5+SUM(CB$5:CB204)+SUM(R$5:R204)-SUM(S$5:S204)-SUM(CC$5:CC204)</f>
        <v>294239.0721389071</v>
      </c>
      <c r="CB205" s="10">
        <f t="shared" si="265"/>
        <v>613.5872477358924</v>
      </c>
      <c r="CC205" s="10">
        <f t="shared" si="266"/>
        <v>2209.855727159489</v>
      </c>
      <c r="CD205" s="10">
        <f t="shared" si="267"/>
        <v>1596.2684794235965</v>
      </c>
      <c r="CF205" s="44">
        <f t="shared" si="263"/>
        <v>0.4211</v>
      </c>
      <c r="CG205" s="10">
        <f t="shared" si="268"/>
        <v>-930.57</v>
      </c>
      <c r="CH205" s="4">
        <f t="shared" si="273"/>
        <v>0</v>
      </c>
    </row>
    <row r="206" spans="1:86" ht="15.75">
      <c r="A206" s="36"/>
      <c r="B206" s="37">
        <v>43374</v>
      </c>
      <c r="C206" s="77">
        <f t="shared" si="257"/>
        <v>3.7723</v>
      </c>
      <c r="D206" s="79">
        <f>C206*(1+Podsumowanie!E$11)</f>
        <v>3.885469</v>
      </c>
      <c r="E206" s="34">
        <f t="shared" si="274"/>
        <v>-563.3279938145834</v>
      </c>
      <c r="F206" s="7">
        <f t="shared" si="275"/>
        <v>-2188.7934567987554</v>
      </c>
      <c r="G206" s="7">
        <f t="shared" si="276"/>
        <v>-1242.4683365655314</v>
      </c>
      <c r="H206" s="7">
        <f t="shared" si="277"/>
        <v>946.325120233224</v>
      </c>
      <c r="I206" s="32"/>
      <c r="K206" s="4">
        <f>IF(B206&lt;Podsumowanie!E$7,0,K205+1)</f>
        <v>136</v>
      </c>
      <c r="L206" s="100">
        <f t="shared" si="258"/>
        <v>-0.0074</v>
      </c>
      <c r="M206" s="38">
        <f>L206+Podsumowanie!E$6</f>
        <v>0.0046</v>
      </c>
      <c r="N206" s="101">
        <f>MAX(Podsumowanie!E$4+SUM(AA$5:AA205)-SUM(X$5:X206)+SUM(W$5:W206),0)</f>
        <v>121930.88178771928</v>
      </c>
      <c r="O206" s="102">
        <f>MAX(Podsumowanie!E$2+SUM(V$5:V205)-SUM(S$5:S206)+SUM(R$5:R206),0)</f>
        <v>268929.04583864857</v>
      </c>
      <c r="P206" s="39">
        <f t="shared" si="189"/>
        <v>360</v>
      </c>
      <c r="Q206" s="40" t="str">
        <f>IF(AND(K206&gt;0,K206&lt;=Podsumowanie!E$9),"tak","nie")</f>
        <v>nie</v>
      </c>
      <c r="R206" s="41"/>
      <c r="S206" s="42"/>
      <c r="T206" s="88">
        <f t="shared" si="278"/>
        <v>-103.08946757148196</v>
      </c>
      <c r="U206" s="89">
        <f>IF(Q206="tak",T206,IF(P206-SUM(AB$5:AB206)+1&gt;0,IF(Podsumowanie!E$7&lt;B206,IF(SUM(AB$5:AB206)-Podsumowanie!E$9+1&gt;0,PMT(M206/12,P206+1-SUM(AB$5:AB206),O206),T206),0),0))</f>
        <v>-1242.4683365655314</v>
      </c>
      <c r="V206" s="89">
        <f t="shared" si="279"/>
        <v>-1139.3788689940495</v>
      </c>
      <c r="W206" s="90" t="str">
        <f>IF(R206&gt;0,R206/(C206*(1-Podsumowanie!E$11))," ")</f>
        <v xml:space="preserve"> </v>
      </c>
      <c r="X206" s="90" t="str">
        <f t="shared" si="295"/>
        <v xml:space="preserve"> </v>
      </c>
      <c r="Y206" s="91">
        <f t="shared" si="280"/>
        <v>-46.740171351959056</v>
      </c>
      <c r="Z206" s="90">
        <f>IF(P206-SUM(AB$5:AB206)+1&gt;0,IF(Podsumowanie!E$7&lt;B206,IF(SUM(AB$5:AB206)-Podsumowanie!E$9+1&gt;0,PMT(M206/12,P206+1-SUM(AB$5:AB206),N206),Y206),0),0)</f>
        <v>-563.3279938145834</v>
      </c>
      <c r="AA206" s="90">
        <f t="shared" si="281"/>
        <v>-516.5878224626243</v>
      </c>
      <c r="AB206" s="8">
        <f>IF(AND(Podsumowanie!E$7&lt;B206,SUM(AB$5:AB205)&lt;P205),1," ")</f>
        <v>1</v>
      </c>
      <c r="AD206" s="10">
        <f>Podsumowanie!E$4-SUM(AF$5:AF205)+SUM(W$42:W206)-SUM(X$42:X206)</f>
        <v>113664.37813555228</v>
      </c>
      <c r="AE206" s="10">
        <f t="shared" si="282"/>
        <v>43.57</v>
      </c>
      <c r="AF206" s="10">
        <f t="shared" si="283"/>
        <v>505.18</v>
      </c>
      <c r="AG206" s="10">
        <f t="shared" si="284"/>
        <v>548.75</v>
      </c>
      <c r="AH206" s="10">
        <f t="shared" si="296"/>
        <v>2132.15</v>
      </c>
      <c r="AI206" s="10">
        <f>Podsumowanie!E$2-SUM(AK$5:AK205)+SUM(R$42:R206)-SUM(S$42:S206)</f>
        <v>250696.11999999982</v>
      </c>
      <c r="AJ206" s="10">
        <f t="shared" si="285"/>
        <v>96.1</v>
      </c>
      <c r="AK206" s="10">
        <f t="shared" si="286"/>
        <v>1114.2</v>
      </c>
      <c r="AL206" s="10">
        <f t="shared" si="287"/>
        <v>1210.3</v>
      </c>
      <c r="AM206" s="10">
        <f t="shared" si="288"/>
        <v>921.8500000000001</v>
      </c>
      <c r="AO206" s="43">
        <f t="shared" si="297"/>
        <v>43374</v>
      </c>
      <c r="AP206" s="11">
        <f>AP$5+SUM(AS$5:AS205)-SUM(X$5:X206)+SUM(W$5:W206)</f>
        <v>118272.95533408769</v>
      </c>
      <c r="AQ206" s="10">
        <f t="shared" si="289"/>
        <v>-45.33796621140028</v>
      </c>
      <c r="AR206" s="10">
        <f>IF(AB206=1,IF(Q206="tak",AQ206,PMT(M206/12,P206+1-SUM(AB$5:AB206),AP206)),0)</f>
        <v>-546.4281540001458</v>
      </c>
      <c r="AS206" s="10">
        <f t="shared" si="299"/>
        <v>-501.09018778874554</v>
      </c>
      <c r="AT206" s="10">
        <f t="shared" si="184"/>
        <v>-2061.29092533475</v>
      </c>
      <c r="AV206" s="11">
        <f>AV$5+SUM(AX$5:AX205)+SUM(W$5:W205)-SUM(X$5:X205)</f>
        <v>110254.28719148581</v>
      </c>
      <c r="AW206" s="11">
        <f t="shared" si="290"/>
        <v>-45.33796621140028</v>
      </c>
      <c r="AX206" s="11">
        <f t="shared" si="291"/>
        <v>-490.02</v>
      </c>
      <c r="AY206" s="11">
        <f t="shared" si="292"/>
        <v>-535.3579662114003</v>
      </c>
      <c r="AZ206" s="11">
        <f t="shared" si="298"/>
        <v>-2019.5308559392652</v>
      </c>
      <c r="BB206" s="191">
        <f t="shared" si="259"/>
        <v>0.0172</v>
      </c>
      <c r="BC206" s="44">
        <f>BB206+Podsumowanie!$E$6</f>
        <v>0.0292</v>
      </c>
      <c r="BD206" s="11">
        <f>BD$5+SUM(BE$5:BE205)+SUM(R$5:R205)-SUM(S$5:S205)</f>
        <v>307459.24640183034</v>
      </c>
      <c r="BE206" s="10">
        <f t="shared" si="293"/>
        <v>-1022.0917397888674</v>
      </c>
      <c r="BF206" s="10">
        <f t="shared" si="294"/>
        <v>-748.1508329111206</v>
      </c>
      <c r="BG206" s="10">
        <f>IF(U206&lt;0,PMT(BC206/12,Podsumowanie!E$8-SUM(AB$5:AB206)+1,BD206),0)</f>
        <v>-1770.242572699988</v>
      </c>
      <c r="BI206" s="11">
        <f>BI$5+SUM(BK$5:BK205)+SUM(R$5:R205)-SUM(S$5:S205)</f>
        <v>250696.3788300835</v>
      </c>
      <c r="BJ206" s="11">
        <f t="shared" si="213"/>
        <v>-610.0278551532032</v>
      </c>
      <c r="BK206" s="11">
        <f t="shared" si="214"/>
        <v>-1114.2061281337044</v>
      </c>
      <c r="BL206" s="11">
        <f t="shared" si="188"/>
        <v>-1724.2339832869075</v>
      </c>
      <c r="BN206" s="44">
        <f t="shared" si="260"/>
        <v>0.0293</v>
      </c>
      <c r="BO206" s="11">
        <f>BO$5+SUM(BP$5:BP205)+SUM(R$5:R205)-SUM(S$5:S205)+SUM(BS$5:BS205)</f>
        <v>320033.19231110945</v>
      </c>
      <c r="BP206" s="10">
        <f t="shared" si="269"/>
        <v>-1062.8059080748162</v>
      </c>
      <c r="BQ206" s="10">
        <f t="shared" si="270"/>
        <v>-781.4143778929589</v>
      </c>
      <c r="BR206" s="10">
        <f>IF(U206&lt;0,PMT(BN206/12,Podsumowanie!E$8-SUM(AB$5:AB206)+1,BO206),0)</f>
        <v>-1844.220285967775</v>
      </c>
      <c r="BS206" s="10">
        <f t="shared" si="264"/>
        <v>-344.5731708309804</v>
      </c>
      <c r="BU206" s="11">
        <f>BU$5+SUM(BW$5:BW205)+SUM(R$5:R205)-SUM(S$5:S205)+SUM(BY$5,BY205)</f>
        <v>250157.77185578516</v>
      </c>
      <c r="BV206" s="10">
        <f t="shared" si="261"/>
        <v>-610.8018929478754</v>
      </c>
      <c r="BW206" s="10">
        <f t="shared" si="262"/>
        <v>-1111.8123193590452</v>
      </c>
      <c r="BX206" s="10">
        <f t="shared" si="271"/>
        <v>-1722.6142123069208</v>
      </c>
      <c r="BY206" s="10">
        <f t="shared" si="272"/>
        <v>-466.17924449183465</v>
      </c>
      <c r="CA206" s="10">
        <f>CA$5+SUM(CB$5:CB205)+SUM(R$5:R205)-SUM(S$5:S205)-SUM(CC$5:CC205)</f>
        <v>292642.80365948344</v>
      </c>
      <c r="CB206" s="10">
        <f t="shared" si="265"/>
        <v>610.8018929478754</v>
      </c>
      <c r="CC206" s="10">
        <f t="shared" si="266"/>
        <v>2188.7934567987554</v>
      </c>
      <c r="CD206" s="10">
        <f t="shared" si="267"/>
        <v>1577.99156385088</v>
      </c>
      <c r="CF206" s="44">
        <f t="shared" si="263"/>
        <v>0.4154</v>
      </c>
      <c r="CG206" s="10">
        <f t="shared" si="268"/>
        <v>-909.22</v>
      </c>
      <c r="CH206" s="4">
        <f t="shared" si="273"/>
        <v>0</v>
      </c>
    </row>
    <row r="207" spans="1:86" ht="15.75">
      <c r="A207" s="36"/>
      <c r="B207" s="37">
        <v>43405</v>
      </c>
      <c r="C207" s="77">
        <f t="shared" si="257"/>
        <v>3.7808</v>
      </c>
      <c r="D207" s="79">
        <f>C207*(1+Podsumowanie!E$11)</f>
        <v>3.8942240000000004</v>
      </c>
      <c r="E207" s="34">
        <f>Z207</f>
        <v>-563.3279938145834</v>
      </c>
      <c r="F207" s="7">
        <f>E207*D207</f>
        <v>-2193.7253933846023</v>
      </c>
      <c r="G207" s="7">
        <f>U207</f>
        <v>-1242.4683365655312</v>
      </c>
      <c r="H207" s="7">
        <f>G207-F207</f>
        <v>951.2570568190711</v>
      </c>
      <c r="I207" s="32"/>
      <c r="K207" s="4">
        <f>IF(B207&lt;Podsumowanie!E$7,0,K206+1)</f>
        <v>137</v>
      </c>
      <c r="L207" s="100">
        <f t="shared" si="258"/>
        <v>-0.0074</v>
      </c>
      <c r="M207" s="38">
        <f>L207+Podsumowanie!E$6</f>
        <v>0.0046</v>
      </c>
      <c r="N207" s="101">
        <f>MAX(Podsumowanie!E$4+SUM(AA$5:AA206)-SUM(X$5:X207)+SUM(W$5:W207),0)</f>
        <v>121414.29396525666</v>
      </c>
      <c r="O207" s="102">
        <f>MAX(Podsumowanie!E$2+SUM(V$5:V206)-SUM(S$5:S207)+SUM(R$5:R207),0)</f>
        <v>267789.6669696545</v>
      </c>
      <c r="P207" s="39">
        <f t="shared" si="189"/>
        <v>360</v>
      </c>
      <c r="Q207" s="40" t="str">
        <f>IF(AND(K207&gt;0,K207&lt;=Podsumowanie!E$9),"tak","nie")</f>
        <v>nie</v>
      </c>
      <c r="R207" s="41"/>
      <c r="S207" s="42"/>
      <c r="T207" s="88">
        <f>IF(AB207=1,-O207*M207/12,0)</f>
        <v>-102.6527056717009</v>
      </c>
      <c r="U207" s="89">
        <f>IF(Q207="tak",T207,IF(P207-SUM(AB$5:AB207)+1&gt;0,IF(Podsumowanie!E$7&lt;B207,IF(SUM(AB$5:AB207)-Podsumowanie!E$9+1&gt;0,PMT(M207/12,P207+1-SUM(AB$5:AB207),O207),T207),0),0))</f>
        <v>-1242.4683365655312</v>
      </c>
      <c r="V207" s="89">
        <f>U207-T207</f>
        <v>-1139.8156308938303</v>
      </c>
      <c r="W207" s="90" t="str">
        <f>IF(R207&gt;0,R207/(C207*(1-Podsumowanie!E$11))," ")</f>
        <v xml:space="preserve"> </v>
      </c>
      <c r="X207" s="90" t="str">
        <f t="shared" si="295"/>
        <v xml:space="preserve"> </v>
      </c>
      <c r="Y207" s="91">
        <f>IF(AB207=1,-N207*M207/12,0)</f>
        <v>-46.54214602001505</v>
      </c>
      <c r="Z207" s="90">
        <f>IF(P207-SUM(AB$5:AB207)+1&gt;0,IF(Podsumowanie!E$7&lt;B207,IF(SUM(AB$5:AB207)-Podsumowanie!E$9+1&gt;0,PMT(M207/12,P207+1-SUM(AB$5:AB207),N207),Y207),0),0)</f>
        <v>-563.3279938145834</v>
      </c>
      <c r="AA207" s="90">
        <f>Z207-Y207</f>
        <v>-516.7858477945683</v>
      </c>
      <c r="AB207" s="8">
        <f>IF(AND(Podsumowanie!E$7&lt;B207,SUM(AB$5:AB206)&lt;P206),1," ")</f>
        <v>1</v>
      </c>
      <c r="AD207" s="10">
        <f>Podsumowanie!E$4-SUM(AF$5:AF206)+SUM(W$42:W207)-SUM(X$42:X207)</f>
        <v>113159.19813555229</v>
      </c>
      <c r="AE207" s="10">
        <f>IF(AB207=1,ROUND(AD207*M207/12,2),0)</f>
        <v>43.38</v>
      </c>
      <c r="AF207" s="10">
        <f>IF(Q207="tak",0,IF(AB207=1,ROUND(AD207/(P207-K207+1),2),0))</f>
        <v>505.17</v>
      </c>
      <c r="AG207" s="10">
        <f>AF207+AE207</f>
        <v>548.5500000000001</v>
      </c>
      <c r="AH207" s="10">
        <f t="shared" si="296"/>
        <v>2136.18</v>
      </c>
      <c r="AI207" s="10">
        <f>Podsumowanie!E$2-SUM(AK$5:AK206)+SUM(R$42:R207)-SUM(S$42:S207)</f>
        <v>249581.9199999998</v>
      </c>
      <c r="AJ207" s="10">
        <f>IF(AB207=1,ROUND(AI207*M207/12,2),0)</f>
        <v>95.67</v>
      </c>
      <c r="AK207" s="10">
        <f>IF(Q207="tak",0,IF(AB207=1,ROUND(AI207/(P207-K207+1),2),0))</f>
        <v>1114.21</v>
      </c>
      <c r="AL207" s="10">
        <f>AK207+AJ207</f>
        <v>1209.88</v>
      </c>
      <c r="AM207" s="10">
        <f>AH207-AL207</f>
        <v>926.2999999999997</v>
      </c>
      <c r="AO207" s="43">
        <f t="shared" si="297"/>
        <v>43405</v>
      </c>
      <c r="AP207" s="11">
        <f>AP$5+SUM(AS$5:AS206)-SUM(X$5:X207)+SUM(W$5:W207)</f>
        <v>117771.86514629895</v>
      </c>
      <c r="AQ207" s="10">
        <f>IF(AB207=1,-AP207*M207/12,0)</f>
        <v>-45.1458816394146</v>
      </c>
      <c r="AR207" s="10">
        <f>IF(AB207=1,IF(Q207="tak",AQ207,PMT(M207/12,P207+1-SUM(AB$5:AB207),AP207)),0)</f>
        <v>-546.4281540001458</v>
      </c>
      <c r="AS207" s="10">
        <f t="shared" si="299"/>
        <v>-501.2822723607312</v>
      </c>
      <c r="AT207" s="10">
        <f t="shared" si="184"/>
        <v>-2065.935564643751</v>
      </c>
      <c r="AV207" s="11">
        <f>AV$5+SUM(AX$5:AX206)+SUM(W$5:W206)-SUM(X$5:X206)</f>
        <v>109764.26719148581</v>
      </c>
      <c r="AW207" s="11">
        <f>IF(AB207=1,-AP207*M207/12,0)</f>
        <v>-45.1458816394146</v>
      </c>
      <c r="AX207" s="11">
        <f>IF(AB207=1,IF(Q207="tak",0,ROUND(-AV207/(P207-K207+1),2)),0)</f>
        <v>-490.02</v>
      </c>
      <c r="AY207" s="11">
        <f>AX207+AW207</f>
        <v>-535.1658816394146</v>
      </c>
      <c r="AZ207" s="11">
        <f t="shared" si="298"/>
        <v>-2023.3551653022987</v>
      </c>
      <c r="BB207" s="191">
        <f t="shared" si="259"/>
        <v>0.0172</v>
      </c>
      <c r="BC207" s="44">
        <f>BB207+Podsumowanie!$E$6</f>
        <v>0.0292</v>
      </c>
      <c r="BD207" s="11">
        <f>BD$5+SUM(BE$5:BE206)+SUM(R$5:R206)-SUM(S$5:S206)</f>
        <v>306437.15466204146</v>
      </c>
      <c r="BE207" s="10">
        <f>IF(BG207&lt;0,BG207-BF207,0)</f>
        <v>-1024.57882968902</v>
      </c>
      <c r="BF207" s="10">
        <f>IF(BG207&lt;0,-BD207*BC207/12,0)</f>
        <v>-745.6637430109676</v>
      </c>
      <c r="BG207" s="10">
        <f>IF(U207&lt;0,PMT(BC207/12,Podsumowanie!E$8-SUM(AB$5:AB207)+1,BD207),0)</f>
        <v>-1770.2425726999875</v>
      </c>
      <c r="BI207" s="11">
        <f>BI$5+SUM(BK$5:BK206)+SUM(R$5:R206)-SUM(S$5:S206)</f>
        <v>249582.1727019498</v>
      </c>
      <c r="BJ207" s="11">
        <f t="shared" si="213"/>
        <v>-607.3166202414112</v>
      </c>
      <c r="BK207" s="11">
        <f t="shared" si="214"/>
        <v>-1114.2061281337044</v>
      </c>
      <c r="BL207" s="11">
        <f t="shared" si="188"/>
        <v>-1721.5227483751155</v>
      </c>
      <c r="BN207" s="44">
        <f t="shared" si="260"/>
        <v>0.0293</v>
      </c>
      <c r="BO207" s="11">
        <f>BO$5+SUM(BP$5:BP206)+SUM(R$5:R206)-SUM(S$5:S206)+SUM(BS$5:BS206)</f>
        <v>318625.81323220365</v>
      </c>
      <c r="BP207" s="10">
        <f t="shared" si="269"/>
        <v>-1064.2500084104208</v>
      </c>
      <c r="BQ207" s="10">
        <f t="shared" si="270"/>
        <v>-777.9780273086307</v>
      </c>
      <c r="BR207" s="10">
        <f>IF(U207&lt;0,PMT(BN207/12,Podsumowanie!E$8-SUM(AB$5:AB207)+1,BO207),0)</f>
        <v>-1842.2280357190514</v>
      </c>
      <c r="BS207" s="10">
        <f t="shared" si="264"/>
        <v>-351.4973576655509</v>
      </c>
      <c r="BU207" s="11">
        <f>BU$5+SUM(BW$5:BW206)+SUM(R$5:R206)-SUM(S$5:S206)+SUM(BY$5,BY206)</f>
        <v>249064.10836650865</v>
      </c>
      <c r="BV207" s="10">
        <f t="shared" si="261"/>
        <v>-608.1315312615586</v>
      </c>
      <c r="BW207" s="10">
        <f t="shared" si="262"/>
        <v>-1111.8933409219137</v>
      </c>
      <c r="BX207" s="10">
        <f t="shared" si="271"/>
        <v>-1720.0248721834723</v>
      </c>
      <c r="BY207" s="10">
        <f t="shared" si="272"/>
        <v>-473.70052120112996</v>
      </c>
      <c r="CA207" s="10">
        <f>CA$5+SUM(CB$5:CB206)+SUM(R$5:R206)-SUM(S$5:S206)-SUM(CC$5:CC206)</f>
        <v>291064.81209563254</v>
      </c>
      <c r="CB207" s="10">
        <f t="shared" si="265"/>
        <v>608.1315312615586</v>
      </c>
      <c r="CC207" s="10">
        <f t="shared" si="266"/>
        <v>2193.7253933846023</v>
      </c>
      <c r="CD207" s="10">
        <f t="shared" si="267"/>
        <v>1585.5938621230437</v>
      </c>
      <c r="CF207" s="44">
        <f t="shared" si="263"/>
        <v>0.4154</v>
      </c>
      <c r="CG207" s="10">
        <f t="shared" si="268"/>
        <v>-911.27</v>
      </c>
      <c r="CH207" s="4">
        <f t="shared" si="273"/>
        <v>0</v>
      </c>
    </row>
    <row r="208" spans="1:86" ht="15.75">
      <c r="A208" s="36"/>
      <c r="B208" s="37">
        <v>43435</v>
      </c>
      <c r="C208" s="77">
        <f t="shared" si="257"/>
        <v>3.7975</v>
      </c>
      <c r="D208" s="79">
        <f>C208*(1+Podsumowanie!E$11)</f>
        <v>3.911425</v>
      </c>
      <c r="E208" s="34">
        <f>Z208</f>
        <v>-563.3279938145834</v>
      </c>
      <c r="F208" s="7">
        <f>E208*D208</f>
        <v>-2203.4151982062067</v>
      </c>
      <c r="G208" s="7">
        <f>U208</f>
        <v>-1242.4683365655314</v>
      </c>
      <c r="H208" s="7">
        <f>G208-F208</f>
        <v>960.9468616406753</v>
      </c>
      <c r="I208" s="32"/>
      <c r="K208" s="4">
        <f>IF(B208&lt;Podsumowanie!E$7,0,K207+1)</f>
        <v>138</v>
      </c>
      <c r="L208" s="100">
        <f t="shared" si="258"/>
        <v>-0.0074</v>
      </c>
      <c r="M208" s="38">
        <f>L208+Podsumowanie!E$6</f>
        <v>0.0046</v>
      </c>
      <c r="N208" s="101">
        <f>MAX(Podsumowanie!E$4+SUM(AA$5:AA207)-SUM(X$5:X208)+SUM(W$5:W208),0)</f>
        <v>120897.50811746209</v>
      </c>
      <c r="O208" s="102">
        <f>MAX(Podsumowanie!E$2+SUM(V$5:V207)-SUM(S$5:S208)+SUM(R$5:R208),0)</f>
        <v>266649.8513387607</v>
      </c>
      <c r="P208" s="39">
        <f t="shared" si="189"/>
        <v>360</v>
      </c>
      <c r="Q208" s="40" t="str">
        <f>IF(AND(K208&gt;0,K208&lt;=Podsumowanie!E$9),"tak","nie")</f>
        <v>nie</v>
      </c>
      <c r="R208" s="41"/>
      <c r="S208" s="42"/>
      <c r="T208" s="88">
        <f>IF(AB208=1,-O208*M208/12,0)</f>
        <v>-102.21577634652493</v>
      </c>
      <c r="U208" s="89">
        <f>IF(Q208="tak",T208,IF(P208-SUM(AB$5:AB208)+1&gt;0,IF(Podsumowanie!E$7&lt;B208,IF(SUM(AB$5:AB208)-Podsumowanie!E$9+1&gt;0,PMT(M208/12,P208+1-SUM(AB$5:AB208),O208),T208),0),0))</f>
        <v>-1242.4683365655314</v>
      </c>
      <c r="V208" s="89">
        <f>U208-T208</f>
        <v>-1140.2525602190065</v>
      </c>
      <c r="W208" s="90" t="str">
        <f>IF(R208&gt;0,R208/(C208*(1-Podsumowanie!E$11))," ")</f>
        <v xml:space="preserve"> </v>
      </c>
      <c r="X208" s="90" t="str">
        <f t="shared" si="295"/>
        <v xml:space="preserve"> </v>
      </c>
      <c r="Y208" s="91">
        <f>IF(AB208=1,-N208*M208/12,0)</f>
        <v>-46.34404477836046</v>
      </c>
      <c r="Z208" s="90">
        <f>IF(P208-SUM(AB$5:AB208)+1&gt;0,IF(Podsumowanie!E$7&lt;B208,IF(SUM(AB$5:AB208)-Podsumowanie!E$9+1&gt;0,PMT(M208/12,P208+1-SUM(AB$5:AB208),N208),Y208),0),0)</f>
        <v>-563.3279938145834</v>
      </c>
      <c r="AA208" s="90">
        <f>Z208-Y208</f>
        <v>-516.9839490362228</v>
      </c>
      <c r="AB208" s="8">
        <f>IF(AND(Podsumowanie!E$7&lt;B208,SUM(AB$5:AB207)&lt;P207),1," ")</f>
        <v>1</v>
      </c>
      <c r="AD208" s="10">
        <f>Podsumowanie!E$4-SUM(AF$5:AF207)+SUM(W$42:W208)-SUM(X$42:X208)</f>
        <v>112654.02813555229</v>
      </c>
      <c r="AE208" s="10">
        <f>IF(AB208=1,ROUND(AD208*M208/12,2),0)</f>
        <v>43.18</v>
      </c>
      <c r="AF208" s="10">
        <f>IF(Q208="tak",0,IF(AB208=1,ROUND(AD208/(P208-K208+1),2),0))</f>
        <v>505.18</v>
      </c>
      <c r="AG208" s="10">
        <f>AF208+AE208</f>
        <v>548.36</v>
      </c>
      <c r="AH208" s="10">
        <f t="shared" si="296"/>
        <v>2144.87</v>
      </c>
      <c r="AI208" s="10">
        <f>Podsumowanie!E$2-SUM(AK$5:AK207)+SUM(R$42:R208)-SUM(S$42:S208)</f>
        <v>248467.70999999982</v>
      </c>
      <c r="AJ208" s="10">
        <f>IF(AB208=1,ROUND(AI208*M208/12,2),0)</f>
        <v>95.25</v>
      </c>
      <c r="AK208" s="10">
        <f>IF(Q208="tak",0,IF(AB208=1,ROUND(AI208/(P208-K208+1),2),0))</f>
        <v>1114.2</v>
      </c>
      <c r="AL208" s="10">
        <f>AK208+AJ208</f>
        <v>1209.45</v>
      </c>
      <c r="AM208" s="10">
        <f>AH208-AL208</f>
        <v>935.4199999999998</v>
      </c>
      <c r="AO208" s="43">
        <f t="shared" si="297"/>
        <v>43435</v>
      </c>
      <c r="AP208" s="11">
        <f>AP$5+SUM(AS$5:AS207)-SUM(X$5:X208)+SUM(W$5:W208)</f>
        <v>117270.58287393821</v>
      </c>
      <c r="AQ208" s="10">
        <f>IF(AB208=1,-AP208*M208/12,0)</f>
        <v>-44.95372343500964</v>
      </c>
      <c r="AR208" s="10">
        <f>IF(AB208=1,IF(Q208="tak",AQ208,PMT(M208/12,P208+1-SUM(AB$5:AB208),AP208)),0)</f>
        <v>-546.4281540001458</v>
      </c>
      <c r="AS208" s="10">
        <f t="shared" si="299"/>
        <v>-501.4744305651362</v>
      </c>
      <c r="AT208" s="10">
        <f t="shared" si="184"/>
        <v>-2075.0609148155536</v>
      </c>
      <c r="AV208" s="11">
        <f>AV$5+SUM(AX$5:AX207)+SUM(W$5:W207)-SUM(X$5:X207)</f>
        <v>109274.2471914858</v>
      </c>
      <c r="AW208" s="11">
        <f>IF(AB208=1,-AP208*M208/12,0)</f>
        <v>-44.95372343500964</v>
      </c>
      <c r="AX208" s="11">
        <f>IF(AB208=1,IF(Q208="tak",0,ROUND(-AV208/(P208-K208+1),2)),0)</f>
        <v>-490.02</v>
      </c>
      <c r="AY208" s="11">
        <f>AX208+AW208</f>
        <v>-534.9737234350097</v>
      </c>
      <c r="AZ208" s="11">
        <f t="shared" si="298"/>
        <v>-2031.562714744449</v>
      </c>
      <c r="BB208" s="191">
        <f t="shared" si="259"/>
        <v>0.0172</v>
      </c>
      <c r="BC208" s="44">
        <f>BB208+Podsumowanie!$E$6</f>
        <v>0.0292</v>
      </c>
      <c r="BD208" s="11">
        <f>BD$5+SUM(BE$5:BE207)+SUM(R$5:R207)-SUM(S$5:S207)</f>
        <v>305412.57583235245</v>
      </c>
      <c r="BE208" s="10">
        <f>IF(BG208&lt;0,BG208-BF208,0)</f>
        <v>-1027.07197150793</v>
      </c>
      <c r="BF208" s="10">
        <f>IF(BG208&lt;0,-BD208*BC208/12,0)</f>
        <v>-743.1706011920577</v>
      </c>
      <c r="BG208" s="10">
        <f>IF(U208&lt;0,PMT(BC208/12,Podsumowanie!E$8-SUM(AB$5:AB208)+1,BD208),0)</f>
        <v>-1770.2425726999877</v>
      </c>
      <c r="BI208" s="11">
        <f>BI$5+SUM(BK$5:BK207)+SUM(R$5:R207)-SUM(S$5:S207)</f>
        <v>248467.9665738161</v>
      </c>
      <c r="BJ208" s="11">
        <f t="shared" si="213"/>
        <v>-604.6053853296193</v>
      </c>
      <c r="BK208" s="11">
        <f t="shared" si="214"/>
        <v>-1114.2061281337046</v>
      </c>
      <c r="BL208" s="11">
        <f t="shared" si="188"/>
        <v>-1718.811513463324</v>
      </c>
      <c r="BN208" s="44">
        <f t="shared" si="260"/>
        <v>0.0293</v>
      </c>
      <c r="BO208" s="11">
        <f>BO$5+SUM(BP$5:BP207)+SUM(R$5:R207)-SUM(S$5:S207)+SUM(BS$5:BS207)</f>
        <v>317210.06586612767</v>
      </c>
      <c r="BP208" s="10">
        <f t="shared" si="269"/>
        <v>-1065.6676962759973</v>
      </c>
      <c r="BQ208" s="10">
        <f t="shared" si="270"/>
        <v>-774.5212441564618</v>
      </c>
      <c r="BR208" s="10">
        <f>IF(U208&lt;0,PMT(BN208/12,Podsumowanie!E$8-SUM(AB$5:AB208)+1,BO208),0)</f>
        <v>-1840.188940432459</v>
      </c>
      <c r="BS208" s="10">
        <f t="shared" si="264"/>
        <v>-363.22625777374765</v>
      </c>
      <c r="BU208" s="11">
        <f>BU$5+SUM(BW$5:BW207)+SUM(R$5:R207)-SUM(S$5:S207)+SUM(BY$5,BY207)</f>
        <v>247944.69374887744</v>
      </c>
      <c r="BV208" s="10">
        <f t="shared" si="261"/>
        <v>-605.398293903509</v>
      </c>
      <c r="BW208" s="10">
        <f t="shared" si="262"/>
        <v>-1111.8596132236657</v>
      </c>
      <c r="BX208" s="10">
        <f t="shared" si="271"/>
        <v>-1717.2579071271748</v>
      </c>
      <c r="BY208" s="10">
        <f t="shared" si="272"/>
        <v>-486.1572910790319</v>
      </c>
      <c r="CA208" s="10">
        <f>CA$5+SUM(CB$5:CB207)+SUM(R$5:R207)-SUM(S$5:S207)-SUM(CC$5:CC207)</f>
        <v>289479.2182335096</v>
      </c>
      <c r="CB208" s="10">
        <f t="shared" si="265"/>
        <v>605.398293903509</v>
      </c>
      <c r="CC208" s="10">
        <f t="shared" si="266"/>
        <v>2203.4151982062067</v>
      </c>
      <c r="CD208" s="10">
        <f t="shared" si="267"/>
        <v>1598.0169043026976</v>
      </c>
      <c r="CF208" s="44">
        <f t="shared" si="263"/>
        <v>0.4154</v>
      </c>
      <c r="CG208" s="10">
        <f t="shared" si="268"/>
        <v>-915.3</v>
      </c>
      <c r="CH208" s="4">
        <f t="shared" si="273"/>
        <v>0</v>
      </c>
    </row>
    <row r="209" spans="1:86" ht="15.75">
      <c r="A209" s="36">
        <v>2019</v>
      </c>
      <c r="B209" s="37">
        <v>43466</v>
      </c>
      <c r="C209" s="77">
        <f t="shared" si="257"/>
        <v>3.8033</v>
      </c>
      <c r="D209" s="79">
        <f>C209*(1+Podsumowanie!E$11)</f>
        <v>3.917399</v>
      </c>
      <c r="E209" s="34">
        <f aca="true" t="shared" si="300" ref="E209:E214">Z209</f>
        <v>-563.3279938145834</v>
      </c>
      <c r="F209" s="7">
        <f aca="true" t="shared" si="301" ref="F209:F214">E209*D209</f>
        <v>-2206.780519641255</v>
      </c>
      <c r="G209" s="7">
        <f aca="true" t="shared" si="302" ref="G209:G214">U209</f>
        <v>-1242.4683365655312</v>
      </c>
      <c r="H209" s="7">
        <f aca="true" t="shared" si="303" ref="H209:H214">G209-F209</f>
        <v>964.3121830757239</v>
      </c>
      <c r="I209" s="32"/>
      <c r="K209" s="4">
        <f>IF(B209&lt;Podsumowanie!E$7,0,K208+1)</f>
        <v>139</v>
      </c>
      <c r="L209" s="100">
        <f t="shared" si="258"/>
        <v>-0.0074</v>
      </c>
      <c r="M209" s="38">
        <f>L209+Podsumowanie!E$6</f>
        <v>0.0046</v>
      </c>
      <c r="N209" s="101">
        <f>MAX(Podsumowanie!E$4+SUM(AA$5:AA208)-SUM(X$5:X209)+SUM(W$5:W209),0)</f>
        <v>120380.52416842587</v>
      </c>
      <c r="O209" s="102">
        <f>MAX(Podsumowanie!E$2+SUM(V$5:V208)-SUM(S$5:S209)+SUM(R$5:R209),0)</f>
        <v>265509.59877854167</v>
      </c>
      <c r="P209" s="39">
        <f t="shared" si="189"/>
        <v>360</v>
      </c>
      <c r="Q209" s="40" t="str">
        <f>IF(AND(K209&gt;0,K209&lt;=Podsumowanie!E$9),"tak","nie")</f>
        <v>nie</v>
      </c>
      <c r="R209" s="41"/>
      <c r="S209" s="42"/>
      <c r="T209" s="88">
        <f aca="true" t="shared" si="304" ref="T209:T214">IF(AB209=1,-O209*M209/12,0)</f>
        <v>-101.7786795317743</v>
      </c>
      <c r="U209" s="89">
        <f>IF(Q209="tak",T209,IF(P209-SUM(AB$5:AB209)+1&gt;0,IF(Podsumowanie!E$7&lt;B209,IF(SUM(AB$5:AB209)-Podsumowanie!E$9+1&gt;0,PMT(M209/12,P209+1-SUM(AB$5:AB209),O209),T209),0),0))</f>
        <v>-1242.4683365655312</v>
      </c>
      <c r="V209" s="89">
        <f aca="true" t="shared" si="305" ref="V209:V214">U209-T209</f>
        <v>-1140.689657033757</v>
      </c>
      <c r="W209" s="90" t="str">
        <f>IF(R209&gt;0,R209/(C209*(1-Podsumowanie!E$11))," ")</f>
        <v xml:space="preserve"> </v>
      </c>
      <c r="X209" s="90" t="str">
        <f t="shared" si="295"/>
        <v xml:space="preserve"> </v>
      </c>
      <c r="Y209" s="91">
        <f aca="true" t="shared" si="306" ref="Y209:Y214">IF(AB209=1,-N209*M209/12,0)</f>
        <v>-46.145867597896576</v>
      </c>
      <c r="Z209" s="90">
        <f>IF(P209-SUM(AB$5:AB209)+1&gt;0,IF(Podsumowanie!E$7&lt;B209,IF(SUM(AB$5:AB209)-Podsumowanie!E$9+1&gt;0,PMT(M209/12,P209+1-SUM(AB$5:AB209),N209),Y209),0),0)</f>
        <v>-563.3279938145834</v>
      </c>
      <c r="AA209" s="90">
        <f aca="true" t="shared" si="307" ref="AA209:AA214">Z209-Y209</f>
        <v>-517.1821262166868</v>
      </c>
      <c r="AB209" s="8">
        <f>IF(AND(Podsumowanie!E$7&lt;B209,SUM(AB$5:AB208)&lt;P208),1," ")</f>
        <v>1</v>
      </c>
      <c r="AD209" s="10">
        <f>Podsumowanie!E$4-SUM(AF$5:AF208)+SUM(W$42:W209)-SUM(X$42:X209)</f>
        <v>112148.8481355523</v>
      </c>
      <c r="AE209" s="10">
        <f aca="true" t="shared" si="308" ref="AE209:AE214">IF(AB209=1,ROUND(AD209*M209/12,2),0)</f>
        <v>42.99</v>
      </c>
      <c r="AF209" s="10">
        <f aca="true" t="shared" si="309" ref="AF209:AF214">IF(Q209="tak",0,IF(AB209=1,ROUND(AD209/(P209-K209+1),2),0))</f>
        <v>505.17</v>
      </c>
      <c r="AG209" s="10">
        <f aca="true" t="shared" si="310" ref="AG209:AG214">AF209+AE209</f>
        <v>548.16</v>
      </c>
      <c r="AH209" s="10">
        <f t="shared" si="296"/>
        <v>2147.36</v>
      </c>
      <c r="AI209" s="10">
        <f>Podsumowanie!E$2-SUM(AK$5:AK208)+SUM(R$42:R209)-SUM(S$42:S209)</f>
        <v>247353.5099999998</v>
      </c>
      <c r="AJ209" s="10">
        <f aca="true" t="shared" si="311" ref="AJ209:AJ214">IF(AB209=1,ROUND(AI209*M209/12,2),0)</f>
        <v>94.82</v>
      </c>
      <c r="AK209" s="10">
        <f aca="true" t="shared" si="312" ref="AK209:AK214">IF(Q209="tak",0,IF(AB209=1,ROUND(AI209/(P209-K209+1),2),0))</f>
        <v>1114.21</v>
      </c>
      <c r="AL209" s="10">
        <f aca="true" t="shared" si="313" ref="AL209:AL214">AK209+AJ209</f>
        <v>1209.03</v>
      </c>
      <c r="AM209" s="10">
        <f aca="true" t="shared" si="314" ref="AM209:AM214">AH209-AL209</f>
        <v>938.3300000000002</v>
      </c>
      <c r="AO209" s="43">
        <f t="shared" si="297"/>
        <v>43466</v>
      </c>
      <c r="AP209" s="11">
        <f>AP$5+SUM(AS$5:AS208)-SUM(X$5:X209)+SUM(W$5:W209)</f>
        <v>116769.10844337309</v>
      </c>
      <c r="AQ209" s="10">
        <f aca="true" t="shared" si="315" ref="AQ209:AQ214">IF(AB209=1,-AP209*M209/12,0)</f>
        <v>-44.76149156995968</v>
      </c>
      <c r="AR209" s="10">
        <f>IF(AB209=1,IF(Q209="tak",AQ209,PMT(M209/12,P209+1-SUM(AB$5:AB209),AP209)),0)</f>
        <v>-546.4281540001458</v>
      </c>
      <c r="AS209" s="10">
        <f aca="true" t="shared" si="316" ref="AS209:AS214">AR209-AQ209</f>
        <v>-501.66666243018614</v>
      </c>
      <c r="AT209" s="10">
        <f t="shared" si="184"/>
        <v>-2078.230198108755</v>
      </c>
      <c r="AV209" s="11">
        <f>AV$5+SUM(AX$5:AX208)+SUM(W$5:W208)-SUM(X$5:X208)</f>
        <v>108784.2271914858</v>
      </c>
      <c r="AW209" s="11">
        <f aca="true" t="shared" si="317" ref="AW209:AW214">IF(AB209=1,-AP209*M209/12,0)</f>
        <v>-44.76149156995968</v>
      </c>
      <c r="AX209" s="11">
        <f aca="true" t="shared" si="318" ref="AX209:AX214">IF(AB209=1,IF(Q209="tak",0,ROUND(-AV209/(P209-K209+1),2)),0)</f>
        <v>-490.02</v>
      </c>
      <c r="AY209" s="11">
        <f aca="true" t="shared" si="319" ref="AY209:AY214">AX209+AW209</f>
        <v>-534.7814915699597</v>
      </c>
      <c r="AZ209" s="11">
        <f t="shared" si="298"/>
        <v>-2033.9344468880279</v>
      </c>
      <c r="BB209" s="191">
        <f t="shared" si="259"/>
        <v>0.0172</v>
      </c>
      <c r="BC209" s="44">
        <f>BB209+Podsumowanie!$E$6</f>
        <v>0.0292</v>
      </c>
      <c r="BD209" s="11">
        <f>BD$5+SUM(BE$5:BE208)+SUM(R$5:R208)-SUM(S$5:S208)</f>
        <v>304385.50386084453</v>
      </c>
      <c r="BE209" s="10">
        <f aca="true" t="shared" si="320" ref="BE209:BE214">IF(BG209&lt;0,BG209-BF209,0)</f>
        <v>-1029.571179971933</v>
      </c>
      <c r="BF209" s="10">
        <f aca="true" t="shared" si="321" ref="BF209:BF214">IF(BG209&lt;0,-BD209*BC209/12,0)</f>
        <v>-740.6713927280551</v>
      </c>
      <c r="BG209" s="10">
        <f>IF(U209&lt;0,PMT(BC209/12,Podsumowanie!E$8-SUM(AB$5:AB209)+1,BD209),0)</f>
        <v>-1770.242572699988</v>
      </c>
      <c r="BI209" s="11">
        <f>BI$5+SUM(BK$5:BK208)+SUM(R$5:R208)-SUM(S$5:S208)</f>
        <v>247353.76044568242</v>
      </c>
      <c r="BJ209" s="11">
        <f t="shared" si="213"/>
        <v>-601.8941504178273</v>
      </c>
      <c r="BK209" s="11">
        <f t="shared" si="214"/>
        <v>-1114.2061281337046</v>
      </c>
      <c r="BL209" s="11">
        <f t="shared" si="188"/>
        <v>-1716.100278551532</v>
      </c>
      <c r="BN209" s="44">
        <f t="shared" si="260"/>
        <v>0.0293</v>
      </c>
      <c r="BO209" s="11">
        <f>BO$5+SUM(BP$5:BP208)+SUM(R$5:R208)-SUM(S$5:S208)+SUM(BS$5:BS208)</f>
        <v>315781.17191207793</v>
      </c>
      <c r="BP209" s="10">
        <f t="shared" si="269"/>
        <v>-1067.0423396146562</v>
      </c>
      <c r="BQ209" s="10">
        <f t="shared" si="270"/>
        <v>-771.0323614186569</v>
      </c>
      <c r="BR209" s="10">
        <f>IF(U209&lt;0,PMT(BN209/12,Podsumowanie!E$8-SUM(AB$5:AB209)+1,BO209),0)</f>
        <v>-1838.0747010333132</v>
      </c>
      <c r="BS209" s="10">
        <f t="shared" si="264"/>
        <v>-368.70581860794186</v>
      </c>
      <c r="BU209" s="11">
        <f>BU$5+SUM(BW$5:BW208)+SUM(R$5:R208)-SUM(S$5:S208)+SUM(BY$5,BY208)</f>
        <v>246820.37736577587</v>
      </c>
      <c r="BV209" s="10">
        <f t="shared" si="261"/>
        <v>-602.6530880681028</v>
      </c>
      <c r="BW209" s="10">
        <f t="shared" si="262"/>
        <v>-1111.803501647639</v>
      </c>
      <c r="BX209" s="10">
        <f t="shared" si="271"/>
        <v>-1714.4565897157418</v>
      </c>
      <c r="BY209" s="10">
        <f t="shared" si="272"/>
        <v>-492.3239299255133</v>
      </c>
      <c r="CA209" s="10">
        <f>CA$5+SUM(CB$5:CB208)+SUM(R$5:R208)-SUM(S$5:S208)-SUM(CC$5:CC208)</f>
        <v>287881.2013292068</v>
      </c>
      <c r="CB209" s="10">
        <f t="shared" si="265"/>
        <v>602.6530880681028</v>
      </c>
      <c r="CC209" s="10">
        <f t="shared" si="266"/>
        <v>2206.780519641255</v>
      </c>
      <c r="CD209" s="10">
        <f t="shared" si="267"/>
        <v>1604.1274315731523</v>
      </c>
      <c r="CF209" s="44">
        <f t="shared" si="263"/>
        <v>0.4183</v>
      </c>
      <c r="CG209" s="10">
        <f t="shared" si="268"/>
        <v>-923.1</v>
      </c>
      <c r="CH209" s="4">
        <f t="shared" si="273"/>
        <v>0</v>
      </c>
    </row>
    <row r="210" spans="1:86" ht="15.75">
      <c r="A210" s="36"/>
      <c r="B210" s="37">
        <v>43497</v>
      </c>
      <c r="C210" s="77">
        <f t="shared" si="257"/>
        <v>3.7975</v>
      </c>
      <c r="D210" s="79">
        <f>C210*(1+Podsumowanie!E$11)</f>
        <v>3.911425</v>
      </c>
      <c r="E210" s="34">
        <f t="shared" si="300"/>
        <v>-563.3279938145834</v>
      </c>
      <c r="F210" s="7">
        <f t="shared" si="301"/>
        <v>-2203.4151982062067</v>
      </c>
      <c r="G210" s="7">
        <f t="shared" si="302"/>
        <v>-1242.4683365655312</v>
      </c>
      <c r="H210" s="7">
        <f t="shared" si="303"/>
        <v>960.9468616406755</v>
      </c>
      <c r="I210" s="32"/>
      <c r="K210" s="4">
        <f>IF(B210&lt;Podsumowanie!E$7,0,K209+1)</f>
        <v>140</v>
      </c>
      <c r="L210" s="100">
        <f t="shared" si="258"/>
        <v>-0.0074</v>
      </c>
      <c r="M210" s="38">
        <f>L210+Podsumowanie!E$6</f>
        <v>0.0046</v>
      </c>
      <c r="N210" s="101">
        <f>MAX(Podsumowanie!E$4+SUM(AA$5:AA209)-SUM(X$5:X210)+SUM(W$5:W210),0)</f>
        <v>119863.34204220917</v>
      </c>
      <c r="O210" s="102">
        <f>MAX(Podsumowanie!E$2+SUM(V$5:V209)-SUM(S$5:S210)+SUM(R$5:R210),0)</f>
        <v>264368.9091215079</v>
      </c>
      <c r="P210" s="39">
        <f t="shared" si="189"/>
        <v>360</v>
      </c>
      <c r="Q210" s="40" t="str">
        <f>IF(AND(K210&gt;0,K210&lt;=Podsumowanie!E$9),"tak","nie")</f>
        <v>nie</v>
      </c>
      <c r="R210" s="41"/>
      <c r="S210" s="42"/>
      <c r="T210" s="88">
        <f t="shared" si="304"/>
        <v>-101.34141516324469</v>
      </c>
      <c r="U210" s="89">
        <f>IF(Q210="tak",T210,IF(P210-SUM(AB$5:AB210)+1&gt;0,IF(Podsumowanie!E$7&lt;B210,IF(SUM(AB$5:AB210)-Podsumowanie!E$9+1&gt;0,PMT(M210/12,P210+1-SUM(AB$5:AB210),O210),T210),0),0))</f>
        <v>-1242.4683365655312</v>
      </c>
      <c r="V210" s="89">
        <f t="shared" si="305"/>
        <v>-1141.1269214022866</v>
      </c>
      <c r="W210" s="90" t="str">
        <f>IF(R210&gt;0,R210/(C210*(1-Podsumowanie!E$11))," ")</f>
        <v xml:space="preserve"> </v>
      </c>
      <c r="X210" s="90" t="str">
        <f t="shared" si="295"/>
        <v xml:space="preserve"> </v>
      </c>
      <c r="Y210" s="91">
        <f t="shared" si="306"/>
        <v>-45.947614449513516</v>
      </c>
      <c r="Z210" s="90">
        <f>IF(P210-SUM(AB$5:AB210)+1&gt;0,IF(Podsumowanie!E$7&lt;B210,IF(SUM(AB$5:AB210)-Podsumowanie!E$9+1&gt;0,PMT(M210/12,P210+1-SUM(AB$5:AB210),N210),Y210),0),0)</f>
        <v>-563.3279938145834</v>
      </c>
      <c r="AA210" s="90">
        <f t="shared" si="307"/>
        <v>-517.3803793650699</v>
      </c>
      <c r="AB210" s="8">
        <f>IF(AND(Podsumowanie!E$7&lt;B210,SUM(AB$5:AB209)&lt;P209),1," ")</f>
        <v>1</v>
      </c>
      <c r="AD210" s="10">
        <f>Podsumowanie!E$4-SUM(AF$5:AF209)+SUM(W$42:W210)-SUM(X$42:X210)</f>
        <v>111643.6781355523</v>
      </c>
      <c r="AE210" s="10">
        <f t="shared" si="308"/>
        <v>42.8</v>
      </c>
      <c r="AF210" s="10">
        <f t="shared" si="309"/>
        <v>505.18</v>
      </c>
      <c r="AG210" s="10">
        <f t="shared" si="310"/>
        <v>547.98</v>
      </c>
      <c r="AH210" s="10">
        <f t="shared" si="296"/>
        <v>2143.38</v>
      </c>
      <c r="AI210" s="10">
        <f>Podsumowanie!E$2-SUM(AK$5:AK209)+SUM(R$42:R210)-SUM(S$42:S210)</f>
        <v>246239.2999999998</v>
      </c>
      <c r="AJ210" s="10">
        <f t="shared" si="311"/>
        <v>94.39</v>
      </c>
      <c r="AK210" s="10">
        <f t="shared" si="312"/>
        <v>1114.2</v>
      </c>
      <c r="AL210" s="10">
        <f t="shared" si="313"/>
        <v>1208.5900000000001</v>
      </c>
      <c r="AM210" s="10">
        <f t="shared" si="314"/>
        <v>934.79</v>
      </c>
      <c r="AO210" s="43">
        <f t="shared" si="297"/>
        <v>43497</v>
      </c>
      <c r="AP210" s="11">
        <f>AP$5+SUM(AS$5:AS209)-SUM(X$5:X210)+SUM(W$5:W210)</f>
        <v>116267.4417809429</v>
      </c>
      <c r="AQ210" s="10">
        <f t="shared" si="315"/>
        <v>-44.56918601602811</v>
      </c>
      <c r="AR210" s="10">
        <f>IF(AB210=1,IF(Q210="tak",AQ210,PMT(M210/12,P210+1-SUM(AB$5:AB210),AP210)),0)</f>
        <v>-546.4281540001458</v>
      </c>
      <c r="AS210" s="10">
        <f t="shared" si="316"/>
        <v>-501.8589679841177</v>
      </c>
      <c r="AT210" s="10">
        <f t="shared" si="184"/>
        <v>-2075.0609148155536</v>
      </c>
      <c r="AV210" s="11">
        <f>AV$5+SUM(AX$5:AX209)+SUM(W$5:W209)-SUM(X$5:X209)</f>
        <v>108294.2071914858</v>
      </c>
      <c r="AW210" s="11">
        <f t="shared" si="317"/>
        <v>-44.56918601602811</v>
      </c>
      <c r="AX210" s="11">
        <f t="shared" si="318"/>
        <v>-490.02</v>
      </c>
      <c r="AY210" s="11">
        <f t="shared" si="319"/>
        <v>-534.5891860160281</v>
      </c>
      <c r="AZ210" s="11">
        <f t="shared" si="298"/>
        <v>-2030.1024338958666</v>
      </c>
      <c r="BB210" s="191">
        <f t="shared" si="259"/>
        <v>0.0172</v>
      </c>
      <c r="BC210" s="44">
        <f>BB210+Podsumowanie!$E$6</f>
        <v>0.0292</v>
      </c>
      <c r="BD210" s="11">
        <f>BD$5+SUM(BE$5:BE209)+SUM(R$5:R209)-SUM(S$5:S209)</f>
        <v>303355.9326808726</v>
      </c>
      <c r="BE210" s="10">
        <f t="shared" si="320"/>
        <v>-1032.0764698431979</v>
      </c>
      <c r="BF210" s="10">
        <f t="shared" si="321"/>
        <v>-738.1661028567901</v>
      </c>
      <c r="BG210" s="10">
        <f>IF(U210&lt;0,PMT(BC210/12,Podsumowanie!E$8-SUM(AB$5:AB210)+1,BD210),0)</f>
        <v>-1770.242572699988</v>
      </c>
      <c r="BI210" s="11">
        <f>BI$5+SUM(BK$5:BK209)+SUM(R$5:R209)-SUM(S$5:S209)</f>
        <v>246239.55431754873</v>
      </c>
      <c r="BJ210" s="11">
        <f t="shared" si="213"/>
        <v>-599.1829155060352</v>
      </c>
      <c r="BK210" s="11">
        <f t="shared" si="214"/>
        <v>-1114.2061281337046</v>
      </c>
      <c r="BL210" s="11">
        <f t="shared" si="188"/>
        <v>-1713.3890436397398</v>
      </c>
      <c r="BN210" s="44">
        <f t="shared" si="260"/>
        <v>0.0293</v>
      </c>
      <c r="BO210" s="11">
        <f>BO$5+SUM(BP$5:BP209)+SUM(R$5:R209)-SUM(S$5:S209)+SUM(BS$5:BS209)</f>
        <v>314345.42375385534</v>
      </c>
      <c r="BP210" s="10">
        <f t="shared" si="269"/>
        <v>-1068.394547133358</v>
      </c>
      <c r="BQ210" s="10">
        <f t="shared" si="270"/>
        <v>-767.5267429989967</v>
      </c>
      <c r="BR210" s="10">
        <f>IF(U210&lt;0,PMT(BN210/12,Podsumowanie!E$8-SUM(AB$5:AB210)+1,BO210),0)</f>
        <v>-1835.9212901323547</v>
      </c>
      <c r="BS210" s="10">
        <f t="shared" si="264"/>
        <v>-367.493908073852</v>
      </c>
      <c r="BU210" s="11">
        <f>BU$5+SUM(BW$5:BW209)+SUM(R$5:R209)-SUM(S$5:S209)+SUM(BY$5,BY209)</f>
        <v>245702.40722528176</v>
      </c>
      <c r="BV210" s="10">
        <f t="shared" si="261"/>
        <v>-599.9233776417296</v>
      </c>
      <c r="BW210" s="10">
        <f t="shared" si="262"/>
        <v>-1111.7755983044424</v>
      </c>
      <c r="BX210" s="10">
        <f t="shared" si="271"/>
        <v>-1711.6989759461721</v>
      </c>
      <c r="BY210" s="10">
        <f t="shared" si="272"/>
        <v>-491.71622226003456</v>
      </c>
      <c r="CA210" s="10">
        <f>CA$5+SUM(CB$5:CB209)+SUM(R$5:R209)-SUM(S$5:S209)-SUM(CC$5:CC209)</f>
        <v>286277.0738976337</v>
      </c>
      <c r="CB210" s="10">
        <f t="shared" si="265"/>
        <v>599.9233776417296</v>
      </c>
      <c r="CC210" s="10">
        <f t="shared" si="266"/>
        <v>2203.4151982062067</v>
      </c>
      <c r="CD210" s="10">
        <f t="shared" si="267"/>
        <v>1603.4918205644772</v>
      </c>
      <c r="CF210" s="44">
        <f t="shared" si="263"/>
        <v>0.4126</v>
      </c>
      <c r="CG210" s="10">
        <f t="shared" si="268"/>
        <v>-909.13</v>
      </c>
      <c r="CH210" s="4">
        <f t="shared" si="273"/>
        <v>0</v>
      </c>
    </row>
    <row r="211" spans="1:86" ht="15.75">
      <c r="A211" s="36"/>
      <c r="B211" s="37">
        <v>43525</v>
      </c>
      <c r="C211" s="77">
        <f t="shared" si="257"/>
        <v>3.8019</v>
      </c>
      <c r="D211" s="79">
        <f>C211*(1+Podsumowanie!E$11)</f>
        <v>3.915957</v>
      </c>
      <c r="E211" s="34">
        <f t="shared" si="300"/>
        <v>-563.3279938145834</v>
      </c>
      <c r="F211" s="7">
        <f t="shared" si="301"/>
        <v>-2205.9682006741746</v>
      </c>
      <c r="G211" s="7">
        <f t="shared" si="302"/>
        <v>-1242.468336565531</v>
      </c>
      <c r="H211" s="7">
        <f t="shared" si="303"/>
        <v>963.4998641086436</v>
      </c>
      <c r="I211" s="32"/>
      <c r="K211" s="4">
        <f>IF(B211&lt;Podsumowanie!E$7,0,K210+1)</f>
        <v>141</v>
      </c>
      <c r="L211" s="100">
        <f t="shared" si="258"/>
        <v>-0.0074</v>
      </c>
      <c r="M211" s="38">
        <f>L211+Podsumowanie!E$6</f>
        <v>0.0046</v>
      </c>
      <c r="N211" s="101">
        <f>MAX(Podsumowanie!E$4+SUM(AA$5:AA210)-SUM(X$5:X211)+SUM(W$5:W211),0)</f>
        <v>119345.96166284411</v>
      </c>
      <c r="O211" s="102">
        <f>MAX(Podsumowanie!E$2+SUM(V$5:V210)-SUM(S$5:S211)+SUM(R$5:R211),0)</f>
        <v>263227.7822001056</v>
      </c>
      <c r="P211" s="39">
        <f t="shared" si="189"/>
        <v>360</v>
      </c>
      <c r="Q211" s="40" t="str">
        <f>IF(AND(K211&gt;0,K211&lt;=Podsumowanie!E$9),"tak","nie")</f>
        <v>nie</v>
      </c>
      <c r="R211" s="41"/>
      <c r="S211" s="42"/>
      <c r="T211" s="88">
        <f t="shared" si="304"/>
        <v>-100.90398317670714</v>
      </c>
      <c r="U211" s="89">
        <f>IF(Q211="tak",T211,IF(P211-SUM(AB$5:AB211)+1&gt;0,IF(Podsumowanie!E$7&lt;B211,IF(SUM(AB$5:AB211)-Podsumowanie!E$9+1&gt;0,PMT(M211/12,P211+1-SUM(AB$5:AB211),O211),T211),0),0))</f>
        <v>-1242.468336565531</v>
      </c>
      <c r="V211" s="89">
        <f t="shared" si="305"/>
        <v>-1141.5643533888237</v>
      </c>
      <c r="W211" s="90" t="str">
        <f>IF(R211&gt;0,R211/(C211*(1-Podsumowanie!E$11))," ")</f>
        <v xml:space="preserve"> </v>
      </c>
      <c r="X211" s="90" t="str">
        <f t="shared" si="295"/>
        <v xml:space="preserve"> </v>
      </c>
      <c r="Y211" s="91">
        <f t="shared" si="306"/>
        <v>-45.74928530409024</v>
      </c>
      <c r="Z211" s="90">
        <f>IF(P211-SUM(AB$5:AB211)+1&gt;0,IF(Podsumowanie!E$7&lt;B211,IF(SUM(AB$5:AB211)-Podsumowanie!E$9+1&gt;0,PMT(M211/12,P211+1-SUM(AB$5:AB211),N211),Y211),0),0)</f>
        <v>-563.3279938145834</v>
      </c>
      <c r="AA211" s="90">
        <f t="shared" si="307"/>
        <v>-517.5787085104931</v>
      </c>
      <c r="AB211" s="8">
        <f>IF(AND(Podsumowanie!E$7&lt;B211,SUM(AB$5:AB210)&lt;P210),1," ")</f>
        <v>1</v>
      </c>
      <c r="AD211" s="10">
        <f>Podsumowanie!E$4-SUM(AF$5:AF210)+SUM(W$42:W211)-SUM(X$42:X211)</f>
        <v>111138.4981355523</v>
      </c>
      <c r="AE211" s="10">
        <f t="shared" si="308"/>
        <v>42.6</v>
      </c>
      <c r="AF211" s="10">
        <f t="shared" si="309"/>
        <v>505.17</v>
      </c>
      <c r="AG211" s="10">
        <f t="shared" si="310"/>
        <v>547.77</v>
      </c>
      <c r="AH211" s="10">
        <f t="shared" si="296"/>
        <v>2145.04</v>
      </c>
      <c r="AI211" s="10">
        <f>Podsumowanie!E$2-SUM(AK$5:AK210)+SUM(R$42:R211)-SUM(S$42:S211)</f>
        <v>245125.0999999998</v>
      </c>
      <c r="AJ211" s="10">
        <f t="shared" si="311"/>
        <v>93.96</v>
      </c>
      <c r="AK211" s="10">
        <f t="shared" si="312"/>
        <v>1114.21</v>
      </c>
      <c r="AL211" s="10">
        <f t="shared" si="313"/>
        <v>1208.17</v>
      </c>
      <c r="AM211" s="10">
        <f t="shared" si="314"/>
        <v>936.8699999999999</v>
      </c>
      <c r="AO211" s="43">
        <f t="shared" si="297"/>
        <v>43525</v>
      </c>
      <c r="AP211" s="11">
        <f>AP$5+SUM(AS$5:AS210)-SUM(X$5:X211)+SUM(W$5:W211)</f>
        <v>115765.58281295878</v>
      </c>
      <c r="AQ211" s="10">
        <f t="shared" si="315"/>
        <v>-44.37680674496753</v>
      </c>
      <c r="AR211" s="10">
        <f>IF(AB211=1,IF(Q211="tak",AQ211,PMT(M211/12,P211+1-SUM(AB$5:AB211),AP211)),0)</f>
        <v>-546.4281540001458</v>
      </c>
      <c r="AS211" s="10">
        <f t="shared" si="316"/>
        <v>-502.05134725517826</v>
      </c>
      <c r="AT211" s="10">
        <f t="shared" si="184"/>
        <v>-2077.4651986931544</v>
      </c>
      <c r="AV211" s="11">
        <f>AV$5+SUM(AX$5:AX210)+SUM(W$5:W210)-SUM(X$5:X210)</f>
        <v>107804.18719148579</v>
      </c>
      <c r="AW211" s="11">
        <f t="shared" si="317"/>
        <v>-44.37680674496753</v>
      </c>
      <c r="AX211" s="11">
        <f t="shared" si="318"/>
        <v>-490.02</v>
      </c>
      <c r="AY211" s="11">
        <f t="shared" si="319"/>
        <v>-534.3968067449675</v>
      </c>
      <c r="AZ211" s="11">
        <f t="shared" si="298"/>
        <v>-2031.723219563692</v>
      </c>
      <c r="BB211" s="191">
        <f t="shared" si="259"/>
        <v>0.0172</v>
      </c>
      <c r="BC211" s="44">
        <f>BB211+Podsumowanie!$E$6</f>
        <v>0.0292</v>
      </c>
      <c r="BD211" s="11">
        <f>BD$5+SUM(BE$5:BE210)+SUM(R$5:R210)-SUM(S$5:S210)</f>
        <v>302323.8562110294</v>
      </c>
      <c r="BE211" s="10">
        <f t="shared" si="320"/>
        <v>-1034.5878559198163</v>
      </c>
      <c r="BF211" s="10">
        <f t="shared" si="321"/>
        <v>-735.6547167801715</v>
      </c>
      <c r="BG211" s="10">
        <f>IF(U211&lt;0,PMT(BC211/12,Podsumowanie!E$8-SUM(AB$5:AB211)+1,BD211),0)</f>
        <v>-1770.242572699988</v>
      </c>
      <c r="BI211" s="11">
        <f>BI$5+SUM(BK$5:BK210)+SUM(R$5:R210)-SUM(S$5:S210)</f>
        <v>245125.34818941503</v>
      </c>
      <c r="BJ211" s="11">
        <f t="shared" si="213"/>
        <v>-596.4716805942433</v>
      </c>
      <c r="BK211" s="11">
        <f t="shared" si="214"/>
        <v>-1114.2061281337046</v>
      </c>
      <c r="BL211" s="11">
        <f t="shared" si="188"/>
        <v>-1710.6778087279479</v>
      </c>
      <c r="BN211" s="44">
        <f t="shared" si="260"/>
        <v>0.0293</v>
      </c>
      <c r="BO211" s="11">
        <f>BO$5+SUM(BP$5:BP210)+SUM(R$5:R210)-SUM(S$5:S210)+SUM(BS$5:BS210)</f>
        <v>312909.5352986481</v>
      </c>
      <c r="BP211" s="10">
        <f t="shared" si="269"/>
        <v>-1069.7468555071628</v>
      </c>
      <c r="BQ211" s="10">
        <f t="shared" si="270"/>
        <v>-764.0207820208658</v>
      </c>
      <c r="BR211" s="10">
        <f>IF(U211&lt;0,PMT(BN211/12,Podsumowanie!E$8-SUM(AB$5:AB211)+1,BO211),0)</f>
        <v>-1833.7676375280284</v>
      </c>
      <c r="BS211" s="10">
        <f t="shared" si="264"/>
        <v>-372.2005631461461</v>
      </c>
      <c r="BU211" s="11">
        <f>BU$5+SUM(BW$5:BW210)+SUM(R$5:R210)-SUM(S$5:S210)+SUM(BY$5,BY210)</f>
        <v>244591.2393346428</v>
      </c>
      <c r="BV211" s="10">
        <f t="shared" si="261"/>
        <v>-597.2102760420861</v>
      </c>
      <c r="BW211" s="10">
        <f t="shared" si="262"/>
        <v>-1111.7783606120126</v>
      </c>
      <c r="BX211" s="10">
        <f t="shared" si="271"/>
        <v>-1708.9886366540986</v>
      </c>
      <c r="BY211" s="10">
        <f t="shared" si="272"/>
        <v>-496.97956402007594</v>
      </c>
      <c r="CA211" s="10">
        <f>CA$5+SUM(CB$5:CB210)+SUM(R$5:R210)-SUM(S$5:S210)-SUM(CC$5:CC210)</f>
        <v>284673.5820770692</v>
      </c>
      <c r="CB211" s="10">
        <f t="shared" si="265"/>
        <v>597.2102760420861</v>
      </c>
      <c r="CC211" s="10">
        <f t="shared" si="266"/>
        <v>2205.9682006741746</v>
      </c>
      <c r="CD211" s="10">
        <f t="shared" si="267"/>
        <v>1608.7579246320884</v>
      </c>
      <c r="CF211" s="44">
        <f t="shared" si="263"/>
        <v>0.4084</v>
      </c>
      <c r="CG211" s="10">
        <f t="shared" si="268"/>
        <v>-900.92</v>
      </c>
      <c r="CH211" s="4">
        <f t="shared" si="273"/>
        <v>0</v>
      </c>
    </row>
    <row r="212" spans="1:86" ht="15.75">
      <c r="A212" s="36"/>
      <c r="B212" s="37">
        <v>43556</v>
      </c>
      <c r="C212" s="77">
        <f t="shared" si="257"/>
        <v>3.786</v>
      </c>
      <c r="D212" s="79">
        <f>C212*(1+Podsumowanie!E$11)</f>
        <v>3.8995800000000003</v>
      </c>
      <c r="E212" s="34">
        <f t="shared" si="300"/>
        <v>-563.3279938145834</v>
      </c>
      <c r="F212" s="7">
        <f t="shared" si="301"/>
        <v>-2196.742578119473</v>
      </c>
      <c r="G212" s="7">
        <f t="shared" si="302"/>
        <v>-1242.4683365655314</v>
      </c>
      <c r="H212" s="7">
        <f t="shared" si="303"/>
        <v>954.2742415539415</v>
      </c>
      <c r="I212" s="32"/>
      <c r="K212" s="4">
        <f>IF(B212&lt;Podsumowanie!E$7,0,K211+1)</f>
        <v>142</v>
      </c>
      <c r="L212" s="100">
        <f t="shared" si="258"/>
        <v>-0.0074</v>
      </c>
      <c r="M212" s="38">
        <f>L212+Podsumowanie!E$6</f>
        <v>0.0046</v>
      </c>
      <c r="N212" s="101">
        <f>MAX(Podsumowanie!E$4+SUM(AA$5:AA211)-SUM(X$5:X212)+SUM(W$5:W212),0)</f>
        <v>118828.38295433362</v>
      </c>
      <c r="O212" s="102">
        <f>MAX(Podsumowanie!E$2+SUM(V$5:V211)-SUM(S$5:S212)+SUM(R$5:R212),0)</f>
        <v>262086.2178467168</v>
      </c>
      <c r="P212" s="39">
        <f t="shared" si="189"/>
        <v>360</v>
      </c>
      <c r="Q212" s="40" t="str">
        <f>IF(AND(K212&gt;0,K212&lt;=Podsumowanie!E$9),"tak","nie")</f>
        <v>nie</v>
      </c>
      <c r="R212" s="41"/>
      <c r="S212" s="42"/>
      <c r="T212" s="88">
        <f t="shared" si="304"/>
        <v>-100.4663835079081</v>
      </c>
      <c r="U212" s="89">
        <f>IF(Q212="tak",T212,IF(P212-SUM(AB$5:AB212)+1&gt;0,IF(Podsumowanie!E$7&lt;B212,IF(SUM(AB$5:AB212)-Podsumowanie!E$9+1&gt;0,PMT(M212/12,P212+1-SUM(AB$5:AB212),O212),T212),0),0))</f>
        <v>-1242.4683365655314</v>
      </c>
      <c r="V212" s="89">
        <f t="shared" si="305"/>
        <v>-1142.0019530576233</v>
      </c>
      <c r="W212" s="90" t="str">
        <f>IF(R212&gt;0,R212/(C212*(1-Podsumowanie!E$11))," ")</f>
        <v xml:space="preserve"> </v>
      </c>
      <c r="X212" s="90" t="str">
        <f t="shared" si="295"/>
        <v xml:space="preserve"> </v>
      </c>
      <c r="Y212" s="91">
        <f t="shared" si="306"/>
        <v>-45.55088013249455</v>
      </c>
      <c r="Z212" s="90">
        <f>IF(P212-SUM(AB$5:AB212)+1&gt;0,IF(Podsumowanie!E$7&lt;B212,IF(SUM(AB$5:AB212)-Podsumowanie!E$9+1&gt;0,PMT(M212/12,P212+1-SUM(AB$5:AB212),N212),Y212),0),0)</f>
        <v>-563.3279938145834</v>
      </c>
      <c r="AA212" s="90">
        <f t="shared" si="307"/>
        <v>-517.7771136820888</v>
      </c>
      <c r="AB212" s="8">
        <f>IF(AND(Podsumowanie!E$7&lt;B212,SUM(AB$5:AB211)&lt;P211),1," ")</f>
        <v>1</v>
      </c>
      <c r="AD212" s="10">
        <f>Podsumowanie!E$4-SUM(AF$5:AF211)+SUM(W$42:W212)-SUM(X$42:X212)</f>
        <v>110633.3281355523</v>
      </c>
      <c r="AE212" s="10">
        <f t="shared" si="308"/>
        <v>42.41</v>
      </c>
      <c r="AF212" s="10">
        <f t="shared" si="309"/>
        <v>505.18</v>
      </c>
      <c r="AG212" s="10">
        <f t="shared" si="310"/>
        <v>547.59</v>
      </c>
      <c r="AH212" s="10">
        <f t="shared" si="296"/>
        <v>2135.37</v>
      </c>
      <c r="AI212" s="10">
        <f>Podsumowanie!E$2-SUM(AK$5:AK211)+SUM(R$42:R212)-SUM(S$42:S212)</f>
        <v>244010.8899999998</v>
      </c>
      <c r="AJ212" s="10">
        <f t="shared" si="311"/>
        <v>93.54</v>
      </c>
      <c r="AK212" s="10">
        <f t="shared" si="312"/>
        <v>1114.2</v>
      </c>
      <c r="AL212" s="10">
        <f t="shared" si="313"/>
        <v>1207.74</v>
      </c>
      <c r="AM212" s="10">
        <f t="shared" si="314"/>
        <v>927.6299999999999</v>
      </c>
      <c r="AO212" s="43">
        <f t="shared" si="297"/>
        <v>43556</v>
      </c>
      <c r="AP212" s="11">
        <f>AP$5+SUM(AS$5:AS211)-SUM(X$5:X212)+SUM(W$5:W212)</f>
        <v>115263.53146570359</v>
      </c>
      <c r="AQ212" s="10">
        <f t="shared" si="315"/>
        <v>-44.18435372851971</v>
      </c>
      <c r="AR212" s="10">
        <f>IF(AB212=1,IF(Q212="tak",AQ212,PMT(M212/12,P212+1-SUM(AB$5:AB212),AP212)),0)</f>
        <v>-546.4281540001458</v>
      </c>
      <c r="AS212" s="10">
        <f t="shared" si="316"/>
        <v>-502.2438002716261</v>
      </c>
      <c r="AT212" s="10">
        <f t="shared" si="184"/>
        <v>-2068.7769910445522</v>
      </c>
      <c r="AV212" s="11">
        <f>AV$5+SUM(AX$5:AX211)+SUM(W$5:W211)-SUM(X$5:X211)</f>
        <v>107314.16719148579</v>
      </c>
      <c r="AW212" s="11">
        <f t="shared" si="317"/>
        <v>-44.18435372851971</v>
      </c>
      <c r="AX212" s="11">
        <f t="shared" si="318"/>
        <v>-490.02</v>
      </c>
      <c r="AY212" s="11">
        <f t="shared" si="319"/>
        <v>-534.2043537285197</v>
      </c>
      <c r="AZ212" s="11">
        <f t="shared" si="298"/>
        <v>-2022.4976832161756</v>
      </c>
      <c r="BB212" s="191">
        <f t="shared" si="259"/>
        <v>0.0172</v>
      </c>
      <c r="BC212" s="44">
        <f>BB212+Podsumowanie!$E$6</f>
        <v>0.0292</v>
      </c>
      <c r="BD212" s="11">
        <f>BD$5+SUM(BE$5:BE211)+SUM(R$5:R211)-SUM(S$5:S211)</f>
        <v>301289.26835510955</v>
      </c>
      <c r="BE212" s="10">
        <f t="shared" si="320"/>
        <v>-1037.1053530358877</v>
      </c>
      <c r="BF212" s="10">
        <f t="shared" si="321"/>
        <v>-733.1372196640999</v>
      </c>
      <c r="BG212" s="10">
        <f>IF(U212&lt;0,PMT(BC212/12,Podsumowanie!E$8-SUM(AB$5:AB212)+1,BD212),0)</f>
        <v>-1770.2425726999877</v>
      </c>
      <c r="BI212" s="11">
        <f>BI$5+SUM(BK$5:BK211)+SUM(R$5:R211)-SUM(S$5:S211)</f>
        <v>244011.14206128134</v>
      </c>
      <c r="BJ212" s="11">
        <f t="shared" si="213"/>
        <v>-593.7604456824513</v>
      </c>
      <c r="BK212" s="11">
        <f t="shared" si="214"/>
        <v>-1114.2061281337049</v>
      </c>
      <c r="BL212" s="11">
        <f t="shared" si="188"/>
        <v>-1707.9665738161561</v>
      </c>
      <c r="BN212" s="44">
        <f t="shared" si="260"/>
        <v>0.0293</v>
      </c>
      <c r="BO212" s="11">
        <f>BO$5+SUM(BP$5:BP211)+SUM(R$5:R211)-SUM(S$5:S211)+SUM(BS$5:BS211)</f>
        <v>311467.5878799948</v>
      </c>
      <c r="BP212" s="10">
        <f t="shared" si="269"/>
        <v>-1071.0788924887333</v>
      </c>
      <c r="BQ212" s="10">
        <f t="shared" si="270"/>
        <v>-760.500027073654</v>
      </c>
      <c r="BR212" s="10">
        <f>IF(U212&lt;0,PMT(BN212/12,Podsumowanie!E$8-SUM(AB$5:AB212)+1,BO212),0)</f>
        <v>-1831.5789195623875</v>
      </c>
      <c r="BS212" s="10">
        <f t="shared" si="264"/>
        <v>-365.16365855708545</v>
      </c>
      <c r="BU212" s="11">
        <f>BU$5+SUM(BW$5:BW211)+SUM(R$5:R211)-SUM(S$5:S211)+SUM(BY$5,BY211)</f>
        <v>243474.19763227072</v>
      </c>
      <c r="BV212" s="10">
        <f t="shared" si="261"/>
        <v>-594.4828325521277</v>
      </c>
      <c r="BW212" s="10">
        <f t="shared" si="262"/>
        <v>-1111.7543270879942</v>
      </c>
      <c r="BX212" s="10">
        <f t="shared" si="271"/>
        <v>-1706.2371596401217</v>
      </c>
      <c r="BY212" s="10">
        <f t="shared" si="272"/>
        <v>-490.5054184793512</v>
      </c>
      <c r="CA212" s="10">
        <f>CA$5+SUM(CB$5:CB211)+SUM(R$5:R211)-SUM(S$5:S211)-SUM(CC$5:CC211)</f>
        <v>283064.82415243716</v>
      </c>
      <c r="CB212" s="10">
        <f t="shared" si="265"/>
        <v>594.4828325521277</v>
      </c>
      <c r="CC212" s="10">
        <f t="shared" si="266"/>
        <v>2196.742578119473</v>
      </c>
      <c r="CD212" s="10">
        <f t="shared" si="267"/>
        <v>1602.2597455673454</v>
      </c>
      <c r="CF212" s="44">
        <f t="shared" si="263"/>
        <v>0.3931</v>
      </c>
      <c r="CG212" s="10">
        <f t="shared" si="268"/>
        <v>-863.54</v>
      </c>
      <c r="CH212" s="4">
        <f t="shared" si="273"/>
        <v>0</v>
      </c>
    </row>
    <row r="213" spans="1:86" ht="15.75">
      <c r="A213" s="36"/>
      <c r="B213" s="37">
        <v>43586</v>
      </c>
      <c r="C213" s="77">
        <f t="shared" si="257"/>
        <v>3.7978</v>
      </c>
      <c r="D213" s="79">
        <f>C213*(1+Podsumowanie!E$11)</f>
        <v>3.911734</v>
      </c>
      <c r="E213" s="34">
        <f t="shared" si="300"/>
        <v>-563.3279938145834</v>
      </c>
      <c r="F213" s="7">
        <f t="shared" si="301"/>
        <v>-2203.5892665562956</v>
      </c>
      <c r="G213" s="7">
        <f t="shared" si="302"/>
        <v>-1242.4683365655312</v>
      </c>
      <c r="H213" s="7">
        <f t="shared" si="303"/>
        <v>961.1209299907644</v>
      </c>
      <c r="I213" s="32"/>
      <c r="K213" s="4">
        <f>IF(B213&lt;Podsumowanie!E$7,0,K212+1)</f>
        <v>143</v>
      </c>
      <c r="L213" s="100">
        <f t="shared" si="258"/>
        <v>-0.0074</v>
      </c>
      <c r="M213" s="38">
        <f>L213+Podsumowanie!E$6</f>
        <v>0.0046</v>
      </c>
      <c r="N213" s="101">
        <f>MAX(Podsumowanie!E$4+SUM(AA$5:AA212)-SUM(X$5:X213)+SUM(W$5:W213),0)</f>
        <v>118310.60584065152</v>
      </c>
      <c r="O213" s="102">
        <f>MAX(Podsumowanie!E$2+SUM(V$5:V212)-SUM(S$5:S213)+SUM(R$5:R213),0)</f>
        <v>260944.2158936592</v>
      </c>
      <c r="P213" s="39">
        <f t="shared" si="189"/>
        <v>360</v>
      </c>
      <c r="Q213" s="40" t="str">
        <f>IF(AND(K213&gt;0,K213&lt;=Podsumowanie!E$9),"tak","nie")</f>
        <v>nie</v>
      </c>
      <c r="R213" s="41"/>
      <c r="S213" s="42"/>
      <c r="T213" s="88">
        <f t="shared" si="304"/>
        <v>-100.02861609256935</v>
      </c>
      <c r="U213" s="89">
        <f>IF(Q213="tak",T213,IF(P213-SUM(AB$5:AB213)+1&gt;0,IF(Podsumowanie!E$7&lt;B213,IF(SUM(AB$5:AB213)-Podsumowanie!E$9+1&gt;0,PMT(M213/12,P213+1-SUM(AB$5:AB213),O213),T213),0),0))</f>
        <v>-1242.4683365655312</v>
      </c>
      <c r="V213" s="89">
        <f t="shared" si="305"/>
        <v>-1142.4397204729619</v>
      </c>
      <c r="W213" s="90" t="str">
        <f>IF(R213&gt;0,R213/(C213*(1-Podsumowanie!E$11))," ")</f>
        <v xml:space="preserve"> </v>
      </c>
      <c r="X213" s="90" t="str">
        <f t="shared" si="295"/>
        <v xml:space="preserve"> </v>
      </c>
      <c r="Y213" s="91">
        <f t="shared" si="306"/>
        <v>-45.35239890558308</v>
      </c>
      <c r="Z213" s="90">
        <f>IF(P213-SUM(AB$5:AB213)+1&gt;0,IF(Podsumowanie!E$7&lt;B213,IF(SUM(AB$5:AB213)-Podsumowanie!E$9+1&gt;0,PMT(M213/12,P213+1-SUM(AB$5:AB213),N213),Y213),0),0)</f>
        <v>-563.3279938145834</v>
      </c>
      <c r="AA213" s="90">
        <f t="shared" si="307"/>
        <v>-517.9755949090003</v>
      </c>
      <c r="AB213" s="8">
        <f>IF(AND(Podsumowanie!E$7&lt;B213,SUM(AB$5:AB212)&lt;P212),1," ")</f>
        <v>1</v>
      </c>
      <c r="AD213" s="10">
        <f>Podsumowanie!E$4-SUM(AF$5:AF212)+SUM(W$42:W213)-SUM(X$42:X213)</f>
        <v>110128.14813555231</v>
      </c>
      <c r="AE213" s="10">
        <f t="shared" si="308"/>
        <v>42.22</v>
      </c>
      <c r="AF213" s="10">
        <f t="shared" si="309"/>
        <v>505.17</v>
      </c>
      <c r="AG213" s="10">
        <f t="shared" si="310"/>
        <v>547.39</v>
      </c>
      <c r="AH213" s="10">
        <f t="shared" si="296"/>
        <v>2141.24</v>
      </c>
      <c r="AI213" s="10">
        <f>Podsumowanie!E$2-SUM(AK$5:AK212)+SUM(R$42:R213)-SUM(S$42:S213)</f>
        <v>242896.6899999998</v>
      </c>
      <c r="AJ213" s="10">
        <f t="shared" si="311"/>
        <v>93.11</v>
      </c>
      <c r="AK213" s="10">
        <f t="shared" si="312"/>
        <v>1114.21</v>
      </c>
      <c r="AL213" s="10">
        <f t="shared" si="313"/>
        <v>1207.32</v>
      </c>
      <c r="AM213" s="10">
        <f t="shared" si="314"/>
        <v>933.9199999999998</v>
      </c>
      <c r="AO213" s="43">
        <f t="shared" si="297"/>
        <v>43586</v>
      </c>
      <c r="AP213" s="11">
        <f>AP$5+SUM(AS$5:AS212)-SUM(X$5:X213)+SUM(W$5:W213)</f>
        <v>114761.28766543197</v>
      </c>
      <c r="AQ213" s="10">
        <f t="shared" si="315"/>
        <v>-43.991826938415585</v>
      </c>
      <c r="AR213" s="10">
        <f>IF(AB213=1,IF(Q213="tak",AQ213,PMT(M213/12,P213+1-SUM(AB$5:AB213),AP213)),0)</f>
        <v>-546.4281540001458</v>
      </c>
      <c r="AS213" s="10">
        <f t="shared" si="316"/>
        <v>-502.43632706173025</v>
      </c>
      <c r="AT213" s="10">
        <f t="shared" si="184"/>
        <v>-2075.224843261754</v>
      </c>
      <c r="AV213" s="11">
        <f>AV$5+SUM(AX$5:AX212)+SUM(W$5:W212)-SUM(X$5:X212)</f>
        <v>106824.14719148578</v>
      </c>
      <c r="AW213" s="11">
        <f t="shared" si="317"/>
        <v>-43.991826938415585</v>
      </c>
      <c r="AX213" s="11">
        <f t="shared" si="318"/>
        <v>-490.02</v>
      </c>
      <c r="AY213" s="11">
        <f t="shared" si="319"/>
        <v>-534.0118269384155</v>
      </c>
      <c r="AZ213" s="11">
        <f t="shared" si="298"/>
        <v>-2028.0701163467145</v>
      </c>
      <c r="BB213" s="191">
        <f t="shared" si="259"/>
        <v>0.0172</v>
      </c>
      <c r="BC213" s="44">
        <f>BB213+Podsumowanie!$E$6</f>
        <v>0.0292</v>
      </c>
      <c r="BD213" s="11">
        <f>BD$5+SUM(BE$5:BE212)+SUM(R$5:R212)-SUM(S$5:S212)</f>
        <v>300252.16300207365</v>
      </c>
      <c r="BE213" s="10">
        <f t="shared" si="320"/>
        <v>-1039.6289760616087</v>
      </c>
      <c r="BF213" s="10">
        <f t="shared" si="321"/>
        <v>-730.6135966383791</v>
      </c>
      <c r="BG213" s="10">
        <f>IF(U213&lt;0,PMT(BC213/12,Podsumowanie!E$8-SUM(AB$5:AB213)+1,BD213),0)</f>
        <v>-1770.2425726999877</v>
      </c>
      <c r="BI213" s="11">
        <f>BI$5+SUM(BK$5:BK212)+SUM(R$5:R212)-SUM(S$5:S212)</f>
        <v>242896.93593314764</v>
      </c>
      <c r="BJ213" s="11">
        <f t="shared" si="213"/>
        <v>-591.0492107706592</v>
      </c>
      <c r="BK213" s="11">
        <f t="shared" si="214"/>
        <v>-1114.2061281337049</v>
      </c>
      <c r="BL213" s="11">
        <f t="shared" si="188"/>
        <v>-1705.2553389043642</v>
      </c>
      <c r="BN213" s="44">
        <f t="shared" si="260"/>
        <v>0.0293</v>
      </c>
      <c r="BO213" s="11">
        <f>BO$5+SUM(BP$5:BP212)+SUM(R$5:R212)-SUM(S$5:S212)+SUM(BS$5:BS212)</f>
        <v>310031.34532894904</v>
      </c>
      <c r="BP213" s="10">
        <f t="shared" si="269"/>
        <v>-1072.4309706879408</v>
      </c>
      <c r="BQ213" s="10">
        <f t="shared" si="270"/>
        <v>-756.9932015115172</v>
      </c>
      <c r="BR213" s="10">
        <f>IF(U213&lt;0,PMT(BN213/12,Podsumowanie!E$8-SUM(AB$5:AB213)+1,BO213),0)</f>
        <v>-1829.424172199458</v>
      </c>
      <c r="BS213" s="10">
        <f t="shared" si="264"/>
        <v>-374.16509435683747</v>
      </c>
      <c r="BU213" s="11">
        <f>BU$5+SUM(BW$5:BW212)+SUM(R$5:R212)-SUM(S$5:S212)+SUM(BY$5,BY212)</f>
        <v>242368.91745072347</v>
      </c>
      <c r="BV213" s="10">
        <f t="shared" si="261"/>
        <v>-591.7841067755165</v>
      </c>
      <c r="BW213" s="10">
        <f t="shared" si="262"/>
        <v>-1111.7840250033187</v>
      </c>
      <c r="BX213" s="10">
        <f t="shared" si="271"/>
        <v>-1703.5681317788353</v>
      </c>
      <c r="BY213" s="10">
        <f t="shared" si="272"/>
        <v>-500.02113477746025</v>
      </c>
      <c r="CA213" s="10">
        <f>CA$5+SUM(CB$5:CB212)+SUM(R$5:R212)-SUM(S$5:S212)-SUM(CC$5:CC212)</f>
        <v>281462.5644068699</v>
      </c>
      <c r="CB213" s="10">
        <f t="shared" si="265"/>
        <v>591.7841067755165</v>
      </c>
      <c r="CC213" s="10">
        <f t="shared" si="266"/>
        <v>2203.5892665562956</v>
      </c>
      <c r="CD213" s="10">
        <f t="shared" si="267"/>
        <v>1611.805159780779</v>
      </c>
      <c r="CF213" s="44">
        <f t="shared" si="263"/>
        <v>0.3903</v>
      </c>
      <c r="CG213" s="10">
        <f t="shared" si="268"/>
        <v>-860.06</v>
      </c>
      <c r="CH213" s="4">
        <f t="shared" si="273"/>
        <v>0</v>
      </c>
    </row>
    <row r="214" spans="1:86" ht="15.75">
      <c r="A214" s="36"/>
      <c r="B214" s="37">
        <v>43617</v>
      </c>
      <c r="C214" s="77">
        <f t="shared" si="257"/>
        <v>3.82</v>
      </c>
      <c r="D214" s="79">
        <f>C214*(1+Podsumowanie!E$11)</f>
        <v>3.9346</v>
      </c>
      <c r="E214" s="34">
        <f t="shared" si="300"/>
        <v>-563.3279938145834</v>
      </c>
      <c r="F214" s="7">
        <f t="shared" si="301"/>
        <v>-2216.47032446286</v>
      </c>
      <c r="G214" s="7">
        <f t="shared" si="302"/>
        <v>-1242.4683365655314</v>
      </c>
      <c r="H214" s="7">
        <f t="shared" si="303"/>
        <v>974.0019878973285</v>
      </c>
      <c r="I214" s="32"/>
      <c r="K214" s="4">
        <f>IF(B214&lt;Podsumowanie!E$7,0,K213+1)</f>
        <v>144</v>
      </c>
      <c r="L214" s="100">
        <f t="shared" si="258"/>
        <v>-0.0074</v>
      </c>
      <c r="M214" s="38">
        <f>L214+Podsumowanie!E$6</f>
        <v>0.0046</v>
      </c>
      <c r="N214" s="101">
        <f>MAX(Podsumowanie!E$4+SUM(AA$5:AA213)-SUM(X$5:X214)+SUM(W$5:W214),0)</f>
        <v>117792.63024574252</v>
      </c>
      <c r="O214" s="102">
        <f>MAX(Podsumowanie!E$2+SUM(V$5:V213)-SUM(S$5:S214)+SUM(R$5:R214),0)</f>
        <v>259801.77617318623</v>
      </c>
      <c r="P214" s="39">
        <f t="shared" si="189"/>
        <v>360</v>
      </c>
      <c r="Q214" s="40" t="str">
        <f>IF(AND(K214&gt;0,K214&lt;=Podsumowanie!E$9),"tak","nie")</f>
        <v>nie</v>
      </c>
      <c r="R214" s="41"/>
      <c r="S214" s="42"/>
      <c r="T214" s="88">
        <f t="shared" si="304"/>
        <v>-99.59068086638804</v>
      </c>
      <c r="U214" s="89">
        <f>IF(Q214="tak",T214,IF(P214-SUM(AB$5:AB214)+1&gt;0,IF(Podsumowanie!E$7&lt;B214,IF(SUM(AB$5:AB214)-Podsumowanie!E$9+1&gt;0,PMT(M214/12,P214+1-SUM(AB$5:AB214),O214),T214),0),0))</f>
        <v>-1242.4683365655314</v>
      </c>
      <c r="V214" s="89">
        <f t="shared" si="305"/>
        <v>-1142.8776556991434</v>
      </c>
      <c r="W214" s="90" t="str">
        <f>IF(R214&gt;0,R214/(C214*(1-Podsumowanie!E$11))," ")</f>
        <v xml:space="preserve"> </v>
      </c>
      <c r="X214" s="90" t="str">
        <f t="shared" si="295"/>
        <v xml:space="preserve"> </v>
      </c>
      <c r="Y214" s="91">
        <f t="shared" si="306"/>
        <v>-45.1538415942013</v>
      </c>
      <c r="Z214" s="90">
        <f>IF(P214-SUM(AB$5:AB214)+1&gt;0,IF(Podsumowanie!E$7&lt;B214,IF(SUM(AB$5:AB214)-Podsumowanie!E$9+1&gt;0,PMT(M214/12,P214+1-SUM(AB$5:AB214),N214),Y214),0),0)</f>
        <v>-563.3279938145834</v>
      </c>
      <c r="AA214" s="90">
        <f t="shared" si="307"/>
        <v>-518.1741522203821</v>
      </c>
      <c r="AB214" s="8">
        <f>IF(AND(Podsumowanie!E$7&lt;B214,SUM(AB$5:AB213)&lt;P213),1," ")</f>
        <v>1</v>
      </c>
      <c r="AD214" s="10">
        <f>Podsumowanie!E$4-SUM(AF$5:AF213)+SUM(W$42:W214)-SUM(X$42:X214)</f>
        <v>109622.97813555232</v>
      </c>
      <c r="AE214" s="10">
        <f t="shared" si="308"/>
        <v>42.02</v>
      </c>
      <c r="AF214" s="10">
        <f t="shared" si="309"/>
        <v>505.18</v>
      </c>
      <c r="AG214" s="10">
        <f t="shared" si="310"/>
        <v>547.2</v>
      </c>
      <c r="AH214" s="10">
        <f t="shared" si="296"/>
        <v>2153.01</v>
      </c>
      <c r="AI214" s="10">
        <f>Podsumowanie!E$2-SUM(AK$5:AK213)+SUM(R$42:R214)-SUM(S$42:S214)</f>
        <v>241782.4799999998</v>
      </c>
      <c r="AJ214" s="10">
        <f t="shared" si="311"/>
        <v>92.68</v>
      </c>
      <c r="AK214" s="10">
        <f t="shared" si="312"/>
        <v>1114.2</v>
      </c>
      <c r="AL214" s="10">
        <f t="shared" si="313"/>
        <v>1206.88</v>
      </c>
      <c r="AM214" s="10">
        <f t="shared" si="314"/>
        <v>946.1300000000001</v>
      </c>
      <c r="AO214" s="43">
        <f t="shared" si="297"/>
        <v>43617</v>
      </c>
      <c r="AP214" s="11">
        <f>AP$5+SUM(AS$5:AS213)-SUM(X$5:X214)+SUM(W$5:W214)</f>
        <v>114258.85133837024</v>
      </c>
      <c r="AQ214" s="10">
        <f t="shared" si="315"/>
        <v>-43.79922634637526</v>
      </c>
      <c r="AR214" s="10">
        <f>IF(AB214=1,IF(Q214="tak",AQ214,PMT(M214/12,P214+1-SUM(AB$5:AB214),AP214)),0)</f>
        <v>-546.4281540001458</v>
      </c>
      <c r="AS214" s="10">
        <f t="shared" si="316"/>
        <v>-502.6289276537706</v>
      </c>
      <c r="AT214" s="10">
        <f t="shared" si="184"/>
        <v>-2087.355548280557</v>
      </c>
      <c r="AV214" s="11">
        <f>AV$5+SUM(AX$5:AX213)+SUM(W$5:W213)-SUM(X$5:X213)</f>
        <v>106334.12719148578</v>
      </c>
      <c r="AW214" s="11">
        <f t="shared" si="317"/>
        <v>-43.79922634637526</v>
      </c>
      <c r="AX214" s="11">
        <f t="shared" si="318"/>
        <v>-490.02</v>
      </c>
      <c r="AY214" s="11">
        <f t="shared" si="319"/>
        <v>-533.8192263463752</v>
      </c>
      <c r="AZ214" s="11">
        <f t="shared" si="298"/>
        <v>-2039.1894446431531</v>
      </c>
      <c r="BB214" s="191">
        <f t="shared" si="259"/>
        <v>0.0172</v>
      </c>
      <c r="BC214" s="44">
        <f>BB214+Podsumowanie!$E$6</f>
        <v>0.0292</v>
      </c>
      <c r="BD214" s="11">
        <f>BD$5+SUM(BE$5:BE213)+SUM(R$5:R213)-SUM(S$5:S213)</f>
        <v>299212.53402601206</v>
      </c>
      <c r="BE214" s="10">
        <f t="shared" si="320"/>
        <v>-1042.1587399033585</v>
      </c>
      <c r="BF214" s="10">
        <f t="shared" si="321"/>
        <v>-728.0838327966294</v>
      </c>
      <c r="BG214" s="10">
        <f>IF(U214&lt;0,PMT(BC214/12,Podsumowanie!E$8-SUM(AB$5:AB214)+1,BD214),0)</f>
        <v>-1770.242572699988</v>
      </c>
      <c r="BI214" s="11">
        <f>BI$5+SUM(BK$5:BK213)+SUM(R$5:R213)-SUM(S$5:S213)</f>
        <v>241782.72980501395</v>
      </c>
      <c r="BJ214" s="11">
        <f t="shared" si="213"/>
        <v>-588.3379758588673</v>
      </c>
      <c r="BK214" s="11">
        <f t="shared" si="214"/>
        <v>-1114.2061281337049</v>
      </c>
      <c r="BL214" s="11">
        <f t="shared" si="188"/>
        <v>-1702.5441039925722</v>
      </c>
      <c r="BN214" s="44">
        <f t="shared" si="260"/>
        <v>0.0293</v>
      </c>
      <c r="BO214" s="11">
        <f>BO$5+SUM(BP$5:BP213)+SUM(R$5:R213)-SUM(S$5:S213)+SUM(BS$5:BS213)</f>
        <v>308584.7492639042</v>
      </c>
      <c r="BP214" s="10">
        <f t="shared" si="269"/>
        <v>-1073.7475495611961</v>
      </c>
      <c r="BQ214" s="10">
        <f t="shared" si="270"/>
        <v>-753.4610961193661</v>
      </c>
      <c r="BR214" s="10">
        <f>IF(U214&lt;0,PMT(BN214/12,Podsumowanie!E$8-SUM(AB$5:AB214)+1,BO214),0)</f>
        <v>-1827.2086456805623</v>
      </c>
      <c r="BS214" s="10">
        <f t="shared" si="264"/>
        <v>-389.2616787822976</v>
      </c>
      <c r="BU214" s="11">
        <f>BU$5+SUM(BW$5:BW213)+SUM(R$5:R213)-SUM(S$5:S213)+SUM(BY$5,BY213)</f>
        <v>241247.61770942205</v>
      </c>
      <c r="BV214" s="10">
        <f t="shared" si="261"/>
        <v>-589.0462665738388</v>
      </c>
      <c r="BW214" s="10">
        <f t="shared" si="262"/>
        <v>-1111.7401737761384</v>
      </c>
      <c r="BX214" s="10">
        <f t="shared" si="271"/>
        <v>-1700.786440349977</v>
      </c>
      <c r="BY214" s="10">
        <f t="shared" si="272"/>
        <v>-515.6838841128829</v>
      </c>
      <c r="CA214" s="10">
        <f>CA$5+SUM(CB$5:CB213)+SUM(R$5:R213)-SUM(S$5:S213)-SUM(CC$5:CC213)</f>
        <v>279850.759247089</v>
      </c>
      <c r="CB214" s="10">
        <f t="shared" si="265"/>
        <v>589.0462665738388</v>
      </c>
      <c r="CC214" s="10">
        <f t="shared" si="266"/>
        <v>2216.47032446286</v>
      </c>
      <c r="CD214" s="10">
        <f t="shared" si="267"/>
        <v>1627.4240578890212</v>
      </c>
      <c r="CF214" s="44">
        <f t="shared" si="263"/>
        <v>0.3861</v>
      </c>
      <c r="CG214" s="10">
        <f t="shared" si="268"/>
        <v>-855.78</v>
      </c>
      <c r="CH214" s="4">
        <f t="shared" si="273"/>
        <v>0</v>
      </c>
    </row>
    <row r="215" spans="1:86" ht="15.75">
      <c r="A215" s="36"/>
      <c r="B215" s="37">
        <v>43647</v>
      </c>
      <c r="C215" s="77">
        <f t="shared" si="257"/>
        <v>3.8442</v>
      </c>
      <c r="D215" s="79">
        <f>C215*(1+Podsumowanie!E$11)</f>
        <v>3.959526</v>
      </c>
      <c r="E215" s="34">
        <f aca="true" t="shared" si="322" ref="E215:E220">Z215</f>
        <v>-563.3279938145834</v>
      </c>
      <c r="F215" s="7">
        <f aca="true" t="shared" si="323" ref="F215:F220">E215*D215</f>
        <v>-2230.511838036682</v>
      </c>
      <c r="G215" s="7">
        <f aca="true" t="shared" si="324" ref="G215:G220">U215</f>
        <v>-1242.4683365655312</v>
      </c>
      <c r="H215" s="7">
        <f aca="true" t="shared" si="325" ref="H215:H220">G215-F215</f>
        <v>988.0435014711509</v>
      </c>
      <c r="I215" s="32"/>
      <c r="K215" s="4">
        <f>IF(B215&lt;Podsumowanie!E$7,0,K214+1)</f>
        <v>145</v>
      </c>
      <c r="L215" s="100">
        <f t="shared" si="258"/>
        <v>-0.0074</v>
      </c>
      <c r="M215" s="38">
        <f>L215+Podsumowanie!E$6</f>
        <v>0.0046</v>
      </c>
      <c r="N215" s="101">
        <f>MAX(Podsumowanie!E$4+SUM(AA$5:AA214)-SUM(X$5:X215)+SUM(W$5:W215),0)</f>
        <v>117274.45609352214</v>
      </c>
      <c r="O215" s="102">
        <f>MAX(Podsumowanie!E$2+SUM(V$5:V214)-SUM(S$5:S215)+SUM(R$5:R215),0)</f>
        <v>258658.89851748708</v>
      </c>
      <c r="P215" s="39">
        <f t="shared" si="189"/>
        <v>360</v>
      </c>
      <c r="Q215" s="40" t="str">
        <f>IF(AND(K215&gt;0,K215&lt;=Podsumowanie!E$9),"tak","nie")</f>
        <v>nie</v>
      </c>
      <c r="R215" s="41"/>
      <c r="S215" s="42"/>
      <c r="T215" s="88">
        <f aca="true" t="shared" si="326" ref="T215:T220">IF(AB215=1,-O215*M215/12,0)</f>
        <v>-99.15257776503671</v>
      </c>
      <c r="U215" s="89">
        <f>IF(Q215="tak",T215,IF(P215-SUM(AB$5:AB215)+1&gt;0,IF(Podsumowanie!E$7&lt;B215,IF(SUM(AB$5:AB215)-Podsumowanie!E$9+1&gt;0,PMT(M215/12,P215+1-SUM(AB$5:AB215),O215),T215),0),0))</f>
        <v>-1242.4683365655312</v>
      </c>
      <c r="V215" s="89">
        <f aca="true" t="shared" si="327" ref="V215:V220">U215-T215</f>
        <v>-1143.3157588004945</v>
      </c>
      <c r="W215" s="90" t="str">
        <f>IF(R215&gt;0,R215/(C215*(1-Podsumowanie!E$11))," ")</f>
        <v xml:space="preserve"> </v>
      </c>
      <c r="X215" s="90" t="str">
        <f t="shared" si="295"/>
        <v xml:space="preserve"> </v>
      </c>
      <c r="Y215" s="91">
        <f aca="true" t="shared" si="328" ref="Y215:Y220">IF(AB215=1,-N215*M215/12,0)</f>
        <v>-44.955208169183486</v>
      </c>
      <c r="Z215" s="90">
        <f>IF(P215-SUM(AB$5:AB215)+1&gt;0,IF(Podsumowanie!E$7&lt;B215,IF(SUM(AB$5:AB215)-Podsumowanie!E$9+1&gt;0,PMT(M215/12,P215+1-SUM(AB$5:AB215),N215),Y215),0),0)</f>
        <v>-563.3279938145834</v>
      </c>
      <c r="AA215" s="90">
        <f aca="true" t="shared" si="329" ref="AA215:AA220">Z215-Y215</f>
        <v>-518.3727856453999</v>
      </c>
      <c r="AB215" s="8">
        <f>IF(AND(Podsumowanie!E$7&lt;B215,SUM(AB$5:AB214)&lt;P214),1," ")</f>
        <v>1</v>
      </c>
      <c r="AD215" s="10">
        <f>Podsumowanie!E$4-SUM(AF$5:AF214)+SUM(W$42:W215)-SUM(X$42:X215)</f>
        <v>109117.79813555232</v>
      </c>
      <c r="AE215" s="10">
        <f aca="true" t="shared" si="330" ref="AE215:AE220">IF(AB215=1,ROUND(AD215*M215/12,2),0)</f>
        <v>41.83</v>
      </c>
      <c r="AF215" s="10">
        <f aca="true" t="shared" si="331" ref="AF215:AF220">IF(Q215="tak",0,IF(AB215=1,ROUND(AD215/(P215-K215+1),2),0))</f>
        <v>505.17</v>
      </c>
      <c r="AG215" s="10">
        <f aca="true" t="shared" si="332" ref="AG215:AG220">AF215+AE215</f>
        <v>547</v>
      </c>
      <c r="AH215" s="10">
        <f t="shared" si="296"/>
        <v>2165.86</v>
      </c>
      <c r="AI215" s="10">
        <f>Podsumowanie!E$2-SUM(AK$5:AK214)+SUM(R$42:R215)-SUM(S$42:S215)</f>
        <v>240668.2799999998</v>
      </c>
      <c r="AJ215" s="10">
        <f aca="true" t="shared" si="333" ref="AJ215:AJ220">IF(AB215=1,ROUND(AI215*M215/12,2),0)</f>
        <v>92.26</v>
      </c>
      <c r="AK215" s="10">
        <f aca="true" t="shared" si="334" ref="AK215:AK220">IF(Q215="tak",0,IF(AB215=1,ROUND(AI215/(P215-K215+1),2),0))</f>
        <v>1114.21</v>
      </c>
      <c r="AL215" s="10">
        <f aca="true" t="shared" si="335" ref="AL215:AL220">AK215+AJ215</f>
        <v>1206.47</v>
      </c>
      <c r="AM215" s="10">
        <f aca="true" t="shared" si="336" ref="AM215:AM220">AH215-AL215</f>
        <v>959.3900000000001</v>
      </c>
      <c r="AO215" s="43">
        <f t="shared" si="297"/>
        <v>43647</v>
      </c>
      <c r="AP215" s="11">
        <f>AP$5+SUM(AS$5:AS214)-SUM(X$5:X215)+SUM(W$5:W215)</f>
        <v>113756.22241071647</v>
      </c>
      <c r="AQ215" s="10">
        <f aca="true" t="shared" si="337" ref="AQ215:AQ220">IF(AB215=1,-AP215*M215/12,0)</f>
        <v>-43.606551924107976</v>
      </c>
      <c r="AR215" s="10">
        <f>IF(AB215=1,IF(Q215="tak",AQ215,PMT(M215/12,P215+1-SUM(AB$5:AB215),AP215)),0)</f>
        <v>-546.4281540001457</v>
      </c>
      <c r="AS215" s="10">
        <f aca="true" t="shared" si="338" ref="AS215:AS220">AR215-AQ215</f>
        <v>-502.8216020760377</v>
      </c>
      <c r="AT215" s="10">
        <f t="shared" si="184"/>
        <v>-2100.57910960736</v>
      </c>
      <c r="AV215" s="11">
        <f>AV$5+SUM(AX$5:AX214)+SUM(W$5:W214)-SUM(X$5:X214)</f>
        <v>105844.10719148577</v>
      </c>
      <c r="AW215" s="11">
        <f aca="true" t="shared" si="339" ref="AW215:AW220">IF(AB215=1,-AP215*M215/12,0)</f>
        <v>-43.606551924107976</v>
      </c>
      <c r="AX215" s="11">
        <f aca="true" t="shared" si="340" ref="AX215:AX220">IF(AB215=1,IF(Q215="tak",0,ROUND(-AV215/(P215-K215+1),2)),0)</f>
        <v>-490.02</v>
      </c>
      <c r="AY215" s="11">
        <f aca="true" t="shared" si="341" ref="AY215:AY220">AX215+AW215</f>
        <v>-533.626551924108</v>
      </c>
      <c r="AZ215" s="11">
        <f t="shared" si="298"/>
        <v>-2051.3671909066557</v>
      </c>
      <c r="BB215" s="191">
        <f t="shared" si="259"/>
        <v>0.0172</v>
      </c>
      <c r="BC215" s="44">
        <f>BB215+Podsumowanie!$E$6</f>
        <v>0.0292</v>
      </c>
      <c r="BD215" s="11">
        <f>BD$5+SUM(BE$5:BE214)+SUM(R$5:R214)-SUM(S$5:S214)</f>
        <v>298170.3752861087</v>
      </c>
      <c r="BE215" s="10">
        <f aca="true" t="shared" si="342" ref="BE215:BE220">IF(BG215&lt;0,BG215-BF215,0)</f>
        <v>-1044.6946595037898</v>
      </c>
      <c r="BF215" s="10">
        <f aca="true" t="shared" si="343" ref="BF215:BF220">IF(BG215&lt;0,-BD215*BC215/12,0)</f>
        <v>-725.5479131961979</v>
      </c>
      <c r="BG215" s="10">
        <f>IF(U215&lt;0,PMT(BC215/12,Podsumowanie!E$8-SUM(AB$5:AB215)+1,BD215),0)</f>
        <v>-1770.2425726999877</v>
      </c>
      <c r="BI215" s="11">
        <f>BI$5+SUM(BK$5:BK214)+SUM(R$5:R214)-SUM(S$5:S214)</f>
        <v>240668.52367688026</v>
      </c>
      <c r="BJ215" s="11">
        <f t="shared" si="213"/>
        <v>-585.6267409470753</v>
      </c>
      <c r="BK215" s="11">
        <f t="shared" si="214"/>
        <v>-1114.2061281337049</v>
      </c>
      <c r="BL215" s="11">
        <f t="shared" si="188"/>
        <v>-1699.8328690807803</v>
      </c>
      <c r="BN215" s="44">
        <f t="shared" si="260"/>
        <v>0.0293</v>
      </c>
      <c r="BO215" s="11">
        <f>BO$5+SUM(BP$5:BP214)+SUM(R$5:R214)-SUM(S$5:S214)+SUM(BS$5:BS214)</f>
        <v>307121.7400355607</v>
      </c>
      <c r="BP215" s="10">
        <f t="shared" si="269"/>
        <v>-1075.0067650341625</v>
      </c>
      <c r="BQ215" s="10">
        <f t="shared" si="270"/>
        <v>-749.888915253494</v>
      </c>
      <c r="BR215" s="10">
        <f>IF(U215&lt;0,PMT(BN215/12,Podsumowanie!E$8-SUM(AB$5:AB215)+1,BO215),0)</f>
        <v>-1824.8956802876567</v>
      </c>
      <c r="BS215" s="10">
        <f t="shared" si="264"/>
        <v>-405.61615774902543</v>
      </c>
      <c r="BU215" s="11">
        <f>BU$5+SUM(BW$5:BW214)+SUM(R$5:R214)-SUM(S$5:S214)+SUM(BY$5,BY214)</f>
        <v>240120.21478631048</v>
      </c>
      <c r="BV215" s="10">
        <f t="shared" si="261"/>
        <v>-586.2935244365748</v>
      </c>
      <c r="BW215" s="10">
        <f t="shared" si="262"/>
        <v>-1111.6676610477336</v>
      </c>
      <c r="BX215" s="10">
        <f t="shared" si="271"/>
        <v>-1697.9611854843083</v>
      </c>
      <c r="BY215" s="10">
        <f t="shared" si="272"/>
        <v>-532.5506525523738</v>
      </c>
      <c r="CA215" s="10">
        <f>CA$5+SUM(CB$5:CB214)+SUM(R$5:R214)-SUM(S$5:S214)-SUM(CC$5:CC214)</f>
        <v>278223.33518920006</v>
      </c>
      <c r="CB215" s="10">
        <f t="shared" si="265"/>
        <v>586.2935244365748</v>
      </c>
      <c r="CC215" s="10">
        <f t="shared" si="266"/>
        <v>2230.511838036682</v>
      </c>
      <c r="CD215" s="10">
        <f t="shared" si="267"/>
        <v>1644.2183136001072</v>
      </c>
      <c r="CF215" s="44">
        <f t="shared" si="263"/>
        <v>0.3861</v>
      </c>
      <c r="CG215" s="10">
        <f t="shared" si="268"/>
        <v>-861.2</v>
      </c>
      <c r="CH215" s="4">
        <f t="shared" si="273"/>
        <v>0</v>
      </c>
    </row>
    <row r="216" spans="1:86" ht="15.75">
      <c r="A216" s="36"/>
      <c r="B216" s="37">
        <v>43678</v>
      </c>
      <c r="C216" s="77">
        <f t="shared" si="257"/>
        <v>3.9844</v>
      </c>
      <c r="D216" s="79">
        <f>C216*(1+Podsumowanie!E$11)</f>
        <v>4.103932</v>
      </c>
      <c r="E216" s="34">
        <f t="shared" si="322"/>
        <v>-563.3279938145834</v>
      </c>
      <c r="F216" s="7">
        <f t="shared" si="323"/>
        <v>-2311.859780311471</v>
      </c>
      <c r="G216" s="7">
        <f t="shared" si="324"/>
        <v>-1242.4683365655314</v>
      </c>
      <c r="H216" s="7">
        <f t="shared" si="325"/>
        <v>1069.3914437459393</v>
      </c>
      <c r="I216" s="32"/>
      <c r="K216" s="4">
        <f>IF(B216&lt;Podsumowanie!E$7,0,K215+1)</f>
        <v>146</v>
      </c>
      <c r="L216" s="100">
        <f t="shared" si="258"/>
        <v>-0.0074</v>
      </c>
      <c r="M216" s="38">
        <f>L216+Podsumowanie!E$6</f>
        <v>0.0046</v>
      </c>
      <c r="N216" s="101">
        <f>MAX(Podsumowanie!E$4+SUM(AA$5:AA215)-SUM(X$5:X216)+SUM(W$5:W216),0)</f>
        <v>116756.08330787675</v>
      </c>
      <c r="O216" s="102">
        <f>MAX(Podsumowanie!E$2+SUM(V$5:V215)-SUM(S$5:S216)+SUM(R$5:R216),0)</f>
        <v>257515.5827586866</v>
      </c>
      <c r="P216" s="39">
        <f t="shared" si="189"/>
        <v>360</v>
      </c>
      <c r="Q216" s="40" t="str">
        <f>IF(AND(K216&gt;0,K216&lt;=Podsumowanie!E$9),"tak","nie")</f>
        <v>nie</v>
      </c>
      <c r="R216" s="41"/>
      <c r="S216" s="42"/>
      <c r="T216" s="88">
        <f t="shared" si="326"/>
        <v>-98.7143067241632</v>
      </c>
      <c r="U216" s="89">
        <f>IF(Q216="tak",T216,IF(P216-SUM(AB$5:AB216)+1&gt;0,IF(Podsumowanie!E$7&lt;B216,IF(SUM(AB$5:AB216)-Podsumowanie!E$9+1&gt;0,PMT(M216/12,P216+1-SUM(AB$5:AB216),O216),T216),0),0))</f>
        <v>-1242.4683365655314</v>
      </c>
      <c r="V216" s="89">
        <f t="shared" si="327"/>
        <v>-1143.7540298413683</v>
      </c>
      <c r="W216" s="90" t="str">
        <f>IF(R216&gt;0,R216/(C216*(1-Podsumowanie!E$11))," ")</f>
        <v xml:space="preserve"> </v>
      </c>
      <c r="X216" s="90" t="str">
        <f t="shared" si="295"/>
        <v xml:space="preserve"> </v>
      </c>
      <c r="Y216" s="91">
        <f t="shared" si="328"/>
        <v>-44.75649860135275</v>
      </c>
      <c r="Z216" s="90">
        <f>IF(P216-SUM(AB$5:AB216)+1&gt;0,IF(Podsumowanie!E$7&lt;B216,IF(SUM(AB$5:AB216)-Podsumowanie!E$9+1&gt;0,PMT(M216/12,P216+1-SUM(AB$5:AB216),N216),Y216),0),0)</f>
        <v>-563.3279938145834</v>
      </c>
      <c r="AA216" s="90">
        <f t="shared" si="329"/>
        <v>-518.5714952132306</v>
      </c>
      <c r="AB216" s="8">
        <f>IF(AND(Podsumowanie!E$7&lt;B216,SUM(AB$5:AB215)&lt;P215),1," ")</f>
        <v>1</v>
      </c>
      <c r="AD216" s="10">
        <f>Podsumowanie!E$4-SUM(AF$5:AF215)+SUM(W$42:W216)-SUM(X$42:X216)</f>
        <v>108612.62813555232</v>
      </c>
      <c r="AE216" s="10">
        <f t="shared" si="330"/>
        <v>41.63</v>
      </c>
      <c r="AF216" s="10">
        <f t="shared" si="331"/>
        <v>505.18</v>
      </c>
      <c r="AG216" s="10">
        <f t="shared" si="332"/>
        <v>546.8100000000001</v>
      </c>
      <c r="AH216" s="10">
        <f t="shared" si="296"/>
        <v>2244.07</v>
      </c>
      <c r="AI216" s="10">
        <f>Podsumowanie!E$2-SUM(AK$5:AK215)+SUM(R$42:R216)-SUM(S$42:S216)</f>
        <v>239554.0699999998</v>
      </c>
      <c r="AJ216" s="10">
        <f t="shared" si="333"/>
        <v>91.83</v>
      </c>
      <c r="AK216" s="10">
        <f t="shared" si="334"/>
        <v>1114.2</v>
      </c>
      <c r="AL216" s="10">
        <f t="shared" si="335"/>
        <v>1206.03</v>
      </c>
      <c r="AM216" s="10">
        <f t="shared" si="336"/>
        <v>1038.0400000000002</v>
      </c>
      <c r="AO216" s="43">
        <f t="shared" si="297"/>
        <v>43678</v>
      </c>
      <c r="AP216" s="11">
        <f>AP$5+SUM(AS$5:AS215)-SUM(X$5:X216)+SUM(W$5:W216)</f>
        <v>113253.40080864044</v>
      </c>
      <c r="AQ216" s="10">
        <f t="shared" si="337"/>
        <v>-43.41380364331217</v>
      </c>
      <c r="AR216" s="10">
        <f>IF(AB216=1,IF(Q216="tak",AQ216,PMT(M216/12,P216+1-SUM(AB$5:AB216),AP216)),0)</f>
        <v>-546.4281540001458</v>
      </c>
      <c r="AS216" s="10">
        <f t="shared" si="338"/>
        <v>-503.01435035683363</v>
      </c>
      <c r="AT216" s="10">
        <f t="shared" si="184"/>
        <v>-2177.188336798181</v>
      </c>
      <c r="AV216" s="11">
        <f>AV$5+SUM(AX$5:AX215)+SUM(W$5:W215)-SUM(X$5:X215)</f>
        <v>105354.08719148577</v>
      </c>
      <c r="AW216" s="11">
        <f t="shared" si="339"/>
        <v>-43.41380364331217</v>
      </c>
      <c r="AX216" s="11">
        <f t="shared" si="340"/>
        <v>-490.02</v>
      </c>
      <c r="AY216" s="11">
        <f t="shared" si="341"/>
        <v>-533.4338036433121</v>
      </c>
      <c r="AZ216" s="11">
        <f t="shared" si="298"/>
        <v>-2125.4136472364125</v>
      </c>
      <c r="BB216" s="191">
        <f t="shared" si="259"/>
        <v>0.0172</v>
      </c>
      <c r="BC216" s="44">
        <f>BB216+Podsumowanie!$E$6</f>
        <v>0.0292</v>
      </c>
      <c r="BD216" s="11">
        <f>BD$5+SUM(BE$5:BE215)+SUM(R$5:R215)-SUM(S$5:S215)</f>
        <v>297125.68062660494</v>
      </c>
      <c r="BE216" s="10">
        <f t="shared" si="342"/>
        <v>-1047.236749841916</v>
      </c>
      <c r="BF216" s="10">
        <f t="shared" si="343"/>
        <v>-723.005822858072</v>
      </c>
      <c r="BG216" s="10">
        <f>IF(U216&lt;0,PMT(BC216/12,Podsumowanie!E$8-SUM(AB$5:AB216)+1,BD216),0)</f>
        <v>-1770.242572699988</v>
      </c>
      <c r="BI216" s="11">
        <f>BI$5+SUM(BK$5:BK215)+SUM(R$5:R215)-SUM(S$5:S215)</f>
        <v>239554.31754874656</v>
      </c>
      <c r="BJ216" s="11">
        <f t="shared" si="213"/>
        <v>-582.9155060352833</v>
      </c>
      <c r="BK216" s="11">
        <f t="shared" si="214"/>
        <v>-1114.2061281337049</v>
      </c>
      <c r="BL216" s="11">
        <f t="shared" si="188"/>
        <v>-1697.1216341689883</v>
      </c>
      <c r="BN216" s="44">
        <f t="shared" si="260"/>
        <v>0.0293</v>
      </c>
      <c r="BO216" s="11">
        <f>BO$5+SUM(BP$5:BP215)+SUM(R$5:R215)-SUM(S$5:S215)+SUM(BS$5:BS215)</f>
        <v>305641.1171127775</v>
      </c>
      <c r="BP216" s="10">
        <f t="shared" si="269"/>
        <v>-1076.2033443547612</v>
      </c>
      <c r="BQ216" s="10">
        <f t="shared" si="270"/>
        <v>-746.2737276170318</v>
      </c>
      <c r="BR216" s="10">
        <f>IF(U216&lt;0,PMT(BN216/12,Podsumowanie!E$8-SUM(AB$5:AB216)+1,BO216),0)</f>
        <v>-1822.4770719717928</v>
      </c>
      <c r="BS216" s="10">
        <f t="shared" si="264"/>
        <v>-489.38270833967795</v>
      </c>
      <c r="BU216" s="11">
        <f>BU$5+SUM(BW$5:BW215)+SUM(R$5:R215)-SUM(S$5:S215)+SUM(BY$5,BY215)</f>
        <v>238991.68035682326</v>
      </c>
      <c r="BV216" s="10">
        <f t="shared" si="261"/>
        <v>-583.5380195379101</v>
      </c>
      <c r="BW216" s="10">
        <f t="shared" si="262"/>
        <v>-1111.5892109619685</v>
      </c>
      <c r="BX216" s="10">
        <f t="shared" si="271"/>
        <v>-1695.1272304998788</v>
      </c>
      <c r="BY216" s="10">
        <f t="shared" si="272"/>
        <v>-616.732549811592</v>
      </c>
      <c r="CA216" s="10">
        <f>CA$5+SUM(CB$5:CB215)+SUM(R$5:R215)-SUM(S$5:S215)-SUM(CC$5:CC215)</f>
        <v>276579.1168755999</v>
      </c>
      <c r="CB216" s="10">
        <f t="shared" si="265"/>
        <v>583.5380195379101</v>
      </c>
      <c r="CC216" s="10">
        <f t="shared" si="266"/>
        <v>2311.859780311471</v>
      </c>
      <c r="CD216" s="10">
        <f t="shared" si="267"/>
        <v>1728.3217607735605</v>
      </c>
      <c r="CF216" s="44">
        <f t="shared" si="263"/>
        <v>0.3861</v>
      </c>
      <c r="CG216" s="10">
        <f t="shared" si="268"/>
        <v>-892.61</v>
      </c>
      <c r="CH216" s="4">
        <f t="shared" si="273"/>
        <v>0</v>
      </c>
    </row>
    <row r="217" spans="1:86" ht="15.75">
      <c r="A217" s="36"/>
      <c r="B217" s="37">
        <v>43709</v>
      </c>
      <c r="C217" s="77">
        <f t="shared" si="257"/>
        <v>3.9919</v>
      </c>
      <c r="D217" s="79">
        <f>C217*(1+Podsumowanie!E$11)</f>
        <v>4.111657</v>
      </c>
      <c r="E217" s="34">
        <f t="shared" si="322"/>
        <v>-557.3503092410706</v>
      </c>
      <c r="F217" s="7">
        <f t="shared" si="323"/>
        <v>-2291.6333004432126</v>
      </c>
      <c r="G217" s="7">
        <f t="shared" si="324"/>
        <v>-1229.2840391577756</v>
      </c>
      <c r="H217" s="7">
        <f t="shared" si="325"/>
        <v>1062.349261285437</v>
      </c>
      <c r="I217" s="32"/>
      <c r="K217" s="4">
        <f>IF(B217&lt;Podsumowanie!E$7,0,K216+1)</f>
        <v>147</v>
      </c>
      <c r="L217" s="100">
        <f t="shared" si="258"/>
        <v>-0.0086</v>
      </c>
      <c r="M217" s="38">
        <f>L217+Podsumowanie!E$6</f>
        <v>0.0034000000000000002</v>
      </c>
      <c r="N217" s="101">
        <f>MAX(Podsumowanie!E$4+SUM(AA$5:AA216)-SUM(X$5:X217)+SUM(W$5:W217),0)</f>
        <v>116237.5118126635</v>
      </c>
      <c r="O217" s="102">
        <f>MAX(Podsumowanie!E$2+SUM(V$5:V216)-SUM(S$5:S217)+SUM(R$5:R217),0)</f>
        <v>256371.82872884523</v>
      </c>
      <c r="P217" s="39">
        <f t="shared" si="189"/>
        <v>360</v>
      </c>
      <c r="Q217" s="40" t="str">
        <f>IF(AND(K217&gt;0,K217&lt;=Podsumowanie!E$9),"tak","nie")</f>
        <v>nie</v>
      </c>
      <c r="R217" s="41"/>
      <c r="S217" s="42"/>
      <c r="T217" s="88">
        <f t="shared" si="326"/>
        <v>-72.63868480650615</v>
      </c>
      <c r="U217" s="89">
        <f>IF(Q217="tak",T217,IF(P217-SUM(AB$5:AB217)+1&gt;0,IF(Podsumowanie!E$7&lt;B217,IF(SUM(AB$5:AB217)-Podsumowanie!E$9+1&gt;0,PMT(M217/12,P217+1-SUM(AB$5:AB217),O217),T217),0),0))</f>
        <v>-1229.2840391577756</v>
      </c>
      <c r="V217" s="89">
        <f t="shared" si="327"/>
        <v>-1156.6453543512694</v>
      </c>
      <c r="W217" s="90" t="str">
        <f>IF(R217&gt;0,R217/(C217*(1-Podsumowanie!E$11))," ")</f>
        <v xml:space="preserve"> </v>
      </c>
      <c r="X217" s="90" t="str">
        <f t="shared" si="295"/>
        <v xml:space="preserve"> </v>
      </c>
      <c r="Y217" s="91">
        <f t="shared" si="328"/>
        <v>-32.93396168025466</v>
      </c>
      <c r="Z217" s="90">
        <f>IF(P217-SUM(AB$5:AB217)+1&gt;0,IF(Podsumowanie!E$7&lt;B217,IF(SUM(AB$5:AB217)-Podsumowanie!E$9+1&gt;0,PMT(M217/12,P217+1-SUM(AB$5:AB217),N217),Y217),0),0)</f>
        <v>-557.3503092410706</v>
      </c>
      <c r="AA217" s="90">
        <f t="shared" si="329"/>
        <v>-524.4163475608159</v>
      </c>
      <c r="AB217" s="8">
        <f>IF(AND(Podsumowanie!E$7&lt;B217,SUM(AB$5:AB216)&lt;P216),1," ")</f>
        <v>1</v>
      </c>
      <c r="AD217" s="10">
        <f>Podsumowanie!E$4-SUM(AF$5:AF216)+SUM(W$42:W217)-SUM(X$42:X217)</f>
        <v>108107.44813555233</v>
      </c>
      <c r="AE217" s="10">
        <f t="shared" si="330"/>
        <v>30.63</v>
      </c>
      <c r="AF217" s="10">
        <f t="shared" si="331"/>
        <v>505.17</v>
      </c>
      <c r="AG217" s="10">
        <f t="shared" si="332"/>
        <v>535.8000000000001</v>
      </c>
      <c r="AH217" s="10">
        <f t="shared" si="296"/>
        <v>2203.03</v>
      </c>
      <c r="AI217" s="10">
        <f>Podsumowanie!E$2-SUM(AK$5:AK216)+SUM(R$42:R217)-SUM(S$42:S217)</f>
        <v>238439.8699999998</v>
      </c>
      <c r="AJ217" s="10">
        <f t="shared" si="333"/>
        <v>67.56</v>
      </c>
      <c r="AK217" s="10">
        <f t="shared" si="334"/>
        <v>1114.21</v>
      </c>
      <c r="AL217" s="10">
        <f t="shared" si="335"/>
        <v>1181.77</v>
      </c>
      <c r="AM217" s="10">
        <f t="shared" si="336"/>
        <v>1021.2600000000002</v>
      </c>
      <c r="AO217" s="43">
        <f t="shared" si="297"/>
        <v>43709</v>
      </c>
      <c r="AP217" s="11">
        <f>AP$5+SUM(AS$5:AS216)-SUM(X$5:X217)+SUM(W$5:W217)</f>
        <v>112750.38645828361</v>
      </c>
      <c r="AQ217" s="10">
        <f t="shared" si="337"/>
        <v>-31.945942829847027</v>
      </c>
      <c r="AR217" s="10">
        <f>IF(AB217=1,IF(Q217="tak",AQ217,PMT(M217/12,P217+1-SUM(AB$5:AB217),AP217)),0)</f>
        <v>-540.6297999638385</v>
      </c>
      <c r="AS217" s="10">
        <f t="shared" si="338"/>
        <v>-508.6838571339915</v>
      </c>
      <c r="AT217" s="10">
        <f t="shared" si="184"/>
        <v>-2158.140098475647</v>
      </c>
      <c r="AV217" s="11">
        <f>AV$5+SUM(AX$5:AX216)+SUM(W$5:W216)-SUM(X$5:X216)</f>
        <v>104864.06719148577</v>
      </c>
      <c r="AW217" s="11">
        <f t="shared" si="339"/>
        <v>-31.945942829847027</v>
      </c>
      <c r="AX217" s="11">
        <f t="shared" si="340"/>
        <v>-490.02</v>
      </c>
      <c r="AY217" s="11">
        <f t="shared" si="341"/>
        <v>-521.965942829847</v>
      </c>
      <c r="AZ217" s="11">
        <f t="shared" si="298"/>
        <v>-2083.635847182466</v>
      </c>
      <c r="BB217" s="191">
        <f t="shared" si="259"/>
        <v>0.0172</v>
      </c>
      <c r="BC217" s="44">
        <f>BB217+Podsumowanie!$E$6</f>
        <v>0.0292</v>
      </c>
      <c r="BD217" s="11">
        <f>BD$5+SUM(BE$5:BE216)+SUM(R$5:R216)-SUM(S$5:S216)</f>
        <v>296078.443876763</v>
      </c>
      <c r="BE217" s="10">
        <f t="shared" si="342"/>
        <v>-1049.7850259331976</v>
      </c>
      <c r="BF217" s="10">
        <f t="shared" si="343"/>
        <v>-720.45754676679</v>
      </c>
      <c r="BG217" s="10">
        <f>IF(U217&lt;0,PMT(BC217/12,Podsumowanie!E$8-SUM(AB$5:AB217)+1,BD217),0)</f>
        <v>-1770.2425726999877</v>
      </c>
      <c r="BI217" s="11">
        <f>BI$5+SUM(BK$5:BK216)+SUM(R$5:R216)-SUM(S$5:S216)</f>
        <v>238440.11142061287</v>
      </c>
      <c r="BJ217" s="11">
        <f t="shared" si="213"/>
        <v>-580.2042711234914</v>
      </c>
      <c r="BK217" s="11">
        <f t="shared" si="214"/>
        <v>-1114.206128133705</v>
      </c>
      <c r="BL217" s="11">
        <f t="shared" si="188"/>
        <v>-1694.4103992571963</v>
      </c>
      <c r="BN217" s="44">
        <f t="shared" si="260"/>
        <v>0.0293</v>
      </c>
      <c r="BO217" s="11">
        <f>BO$5+SUM(BP$5:BP216)+SUM(R$5:R216)-SUM(S$5:S216)+SUM(BS$5:BS216)</f>
        <v>304075.53106008307</v>
      </c>
      <c r="BP217" s="10">
        <f t="shared" si="269"/>
        <v>-1077.0975807706868</v>
      </c>
      <c r="BQ217" s="10">
        <f t="shared" si="270"/>
        <v>-742.4510883383695</v>
      </c>
      <c r="BR217" s="10">
        <f>IF(U217&lt;0,PMT(BN217/12,Podsumowanie!E$8-SUM(AB$5:AB217)+1,BO217),0)</f>
        <v>-1819.5486691090564</v>
      </c>
      <c r="BS217" s="10">
        <f t="shared" si="264"/>
        <v>-472.08463133415626</v>
      </c>
      <c r="BU217" s="11">
        <f>BU$5+SUM(BW$5:BW216)+SUM(R$5:R216)-SUM(S$5:S216)+SUM(BY$5,BY216)</f>
        <v>237795.90924860205</v>
      </c>
      <c r="BV217" s="10">
        <f t="shared" si="261"/>
        <v>-580.6183450820033</v>
      </c>
      <c r="BW217" s="10">
        <f t="shared" si="262"/>
        <v>-1111.19583761029</v>
      </c>
      <c r="BX217" s="10">
        <f t="shared" si="271"/>
        <v>-1691.8141826922933</v>
      </c>
      <c r="BY217" s="10">
        <f t="shared" si="272"/>
        <v>-599.8191177509193</v>
      </c>
      <c r="CA217" s="10">
        <f>CA$5+SUM(CB$5:CB216)+SUM(R$5:R216)-SUM(S$5:S216)-SUM(CC$5:CC216)</f>
        <v>274850.79511482624</v>
      </c>
      <c r="CB217" s="10">
        <f t="shared" si="265"/>
        <v>580.6183450820033</v>
      </c>
      <c r="CC217" s="10">
        <f t="shared" si="266"/>
        <v>2291.6333004432126</v>
      </c>
      <c r="CD217" s="10">
        <f t="shared" si="267"/>
        <v>1711.0149553612093</v>
      </c>
      <c r="CF217" s="44">
        <f t="shared" si="263"/>
        <v>0.3861</v>
      </c>
      <c r="CG217" s="10">
        <f t="shared" si="268"/>
        <v>-884.8</v>
      </c>
      <c r="CH217" s="4">
        <f t="shared" si="273"/>
        <v>0</v>
      </c>
    </row>
    <row r="218" spans="1:86" ht="15.75">
      <c r="A218" s="36"/>
      <c r="B218" s="37">
        <v>43739</v>
      </c>
      <c r="C218" s="77">
        <f t="shared" si="257"/>
        <v>3.918</v>
      </c>
      <c r="D218" s="79">
        <f>C218*(1+Podsumowanie!E$11)</f>
        <v>4.03554</v>
      </c>
      <c r="E218" s="34">
        <f t="shared" si="322"/>
        <v>-557.3503092410706</v>
      </c>
      <c r="F218" s="7">
        <f t="shared" si="323"/>
        <v>-2249.20946695471</v>
      </c>
      <c r="G218" s="7">
        <f t="shared" si="324"/>
        <v>-1229.2840391577756</v>
      </c>
      <c r="H218" s="7">
        <f t="shared" si="325"/>
        <v>1019.9254277969344</v>
      </c>
      <c r="I218" s="32"/>
      <c r="K218" s="4">
        <f>IF(B218&lt;Podsumowanie!E$7,0,K217+1)</f>
        <v>148</v>
      </c>
      <c r="L218" s="100">
        <f t="shared" si="258"/>
        <v>-0.0086</v>
      </c>
      <c r="M218" s="38">
        <f>L218+Podsumowanie!E$6</f>
        <v>0.0034000000000000002</v>
      </c>
      <c r="N218" s="101">
        <f>MAX(Podsumowanie!E$4+SUM(AA$5:AA217)-SUM(X$5:X218)+SUM(W$5:W218),0)</f>
        <v>115713.09546510268</v>
      </c>
      <c r="O218" s="102">
        <f>MAX(Podsumowanie!E$2+SUM(V$5:V217)-SUM(S$5:S218)+SUM(R$5:R218),0)</f>
        <v>255215.18337449396</v>
      </c>
      <c r="P218" s="39">
        <f t="shared" si="189"/>
        <v>360</v>
      </c>
      <c r="Q218" s="40" t="str">
        <f>IF(AND(K218&gt;0,K218&lt;=Podsumowanie!E$9),"tak","nie")</f>
        <v>nie</v>
      </c>
      <c r="R218" s="41"/>
      <c r="S218" s="42"/>
      <c r="T218" s="88">
        <f t="shared" si="326"/>
        <v>-72.3109686227733</v>
      </c>
      <c r="U218" s="89">
        <f>IF(Q218="tak",T218,IF(P218-SUM(AB$5:AB218)+1&gt;0,IF(Podsumowanie!E$7&lt;B218,IF(SUM(AB$5:AB218)-Podsumowanie!E$9+1&gt;0,PMT(M218/12,P218+1-SUM(AB$5:AB218),O218),T218),0),0))</f>
        <v>-1229.2840391577756</v>
      </c>
      <c r="V218" s="89">
        <f t="shared" si="327"/>
        <v>-1156.9730705350023</v>
      </c>
      <c r="W218" s="90" t="str">
        <f>IF(R218&gt;0,R218/(C218*(1-Podsumowanie!E$11))," ")</f>
        <v xml:space="preserve"> </v>
      </c>
      <c r="X218" s="90" t="str">
        <f t="shared" si="295"/>
        <v xml:space="preserve"> </v>
      </c>
      <c r="Y218" s="91">
        <f t="shared" si="328"/>
        <v>-32.78537704844576</v>
      </c>
      <c r="Z218" s="90">
        <f>IF(P218-SUM(AB$5:AB218)+1&gt;0,IF(Podsumowanie!E$7&lt;B218,IF(SUM(AB$5:AB218)-Podsumowanie!E$9+1&gt;0,PMT(M218/12,P218+1-SUM(AB$5:AB218),N218),Y218),0),0)</f>
        <v>-557.3503092410706</v>
      </c>
      <c r="AA218" s="90">
        <f t="shared" si="329"/>
        <v>-524.5649321926248</v>
      </c>
      <c r="AB218" s="8">
        <f>IF(AND(Podsumowanie!E$7&lt;B218,SUM(AB$5:AB217)&lt;P217),1," ")</f>
        <v>1</v>
      </c>
      <c r="AD218" s="10">
        <f>Podsumowanie!E$4-SUM(AF$5:AF217)+SUM(W$42:W218)-SUM(X$42:X218)</f>
        <v>107602.27813555233</v>
      </c>
      <c r="AE218" s="10">
        <f t="shared" si="330"/>
        <v>30.49</v>
      </c>
      <c r="AF218" s="10">
        <f t="shared" si="331"/>
        <v>505.18</v>
      </c>
      <c r="AG218" s="10">
        <f t="shared" si="332"/>
        <v>535.67</v>
      </c>
      <c r="AH218" s="10">
        <f t="shared" si="296"/>
        <v>2161.72</v>
      </c>
      <c r="AI218" s="10">
        <f>Podsumowanie!E$2-SUM(AK$5:AK217)+SUM(R$42:R218)-SUM(S$42:S218)</f>
        <v>237325.6599999998</v>
      </c>
      <c r="AJ218" s="10">
        <f t="shared" si="333"/>
        <v>67.24</v>
      </c>
      <c r="AK218" s="10">
        <f t="shared" si="334"/>
        <v>1114.2</v>
      </c>
      <c r="AL218" s="10">
        <f t="shared" si="335"/>
        <v>1181.44</v>
      </c>
      <c r="AM218" s="10">
        <f t="shared" si="336"/>
        <v>980.2799999999997</v>
      </c>
      <c r="AO218" s="43">
        <f t="shared" si="297"/>
        <v>43739</v>
      </c>
      <c r="AP218" s="11">
        <f>AP$5+SUM(AS$5:AS217)-SUM(X$5:X218)+SUM(W$5:W218)</f>
        <v>112241.70260114962</v>
      </c>
      <c r="AQ218" s="10">
        <f t="shared" si="337"/>
        <v>-31.801815736992396</v>
      </c>
      <c r="AR218" s="10">
        <f>IF(AB218=1,IF(Q218="tak",AQ218,PMT(M218/12,P218+1-SUM(AB$5:AB218),AP218)),0)</f>
        <v>-540.6297999638385</v>
      </c>
      <c r="AS218" s="10">
        <f t="shared" si="338"/>
        <v>-508.8279842268461</v>
      </c>
      <c r="AT218" s="10">
        <f t="shared" si="184"/>
        <v>-2118.1875562583195</v>
      </c>
      <c r="AV218" s="11">
        <f>AV$5+SUM(AX$5:AX217)+SUM(W$5:W217)-SUM(X$5:X217)</f>
        <v>104374.04719148576</v>
      </c>
      <c r="AW218" s="11">
        <f t="shared" si="339"/>
        <v>-31.801815736992396</v>
      </c>
      <c r="AX218" s="11">
        <f t="shared" si="340"/>
        <v>-490.02</v>
      </c>
      <c r="AY218" s="11">
        <f t="shared" si="341"/>
        <v>-521.8218157369923</v>
      </c>
      <c r="AZ218" s="11">
        <f t="shared" si="298"/>
        <v>-2044.4978740575361</v>
      </c>
      <c r="BB218" s="191">
        <f t="shared" si="259"/>
        <v>0.0172</v>
      </c>
      <c r="BC218" s="44">
        <f>BB218+Podsumowanie!$E$6</f>
        <v>0.0292</v>
      </c>
      <c r="BD218" s="11">
        <f>BD$5+SUM(BE$5:BE217)+SUM(R$5:R217)-SUM(S$5:S217)</f>
        <v>295028.6588508298</v>
      </c>
      <c r="BE218" s="10">
        <f t="shared" si="342"/>
        <v>-1052.339502829635</v>
      </c>
      <c r="BF218" s="10">
        <f t="shared" si="343"/>
        <v>-717.9030698703526</v>
      </c>
      <c r="BG218" s="10">
        <f>IF(U218&lt;0,PMT(BC218/12,Podsumowanie!E$8-SUM(AB$5:AB218)+1,BD218),0)</f>
        <v>-1770.2425726999877</v>
      </c>
      <c r="BI218" s="11">
        <f>BI$5+SUM(BK$5:BK217)+SUM(R$5:R217)-SUM(S$5:S217)</f>
        <v>237325.90529247918</v>
      </c>
      <c r="BJ218" s="11">
        <f t="shared" si="213"/>
        <v>-577.4930362116994</v>
      </c>
      <c r="BK218" s="11">
        <f t="shared" si="214"/>
        <v>-1114.206128133705</v>
      </c>
      <c r="BL218" s="11">
        <f t="shared" si="188"/>
        <v>-1691.6991643454044</v>
      </c>
      <c r="BN218" s="44">
        <f t="shared" si="260"/>
        <v>0.0293</v>
      </c>
      <c r="BO218" s="11">
        <f>BO$5+SUM(BP$5:BP217)+SUM(R$5:R217)-SUM(S$5:S217)+SUM(BS$5:BS217)</f>
        <v>302526.3488479782</v>
      </c>
      <c r="BP218" s="10">
        <f t="shared" si="269"/>
        <v>-1078.0452320130457</v>
      </c>
      <c r="BQ218" s="10">
        <f t="shared" si="270"/>
        <v>-738.6685017704802</v>
      </c>
      <c r="BR218" s="10">
        <f>IF(U218&lt;0,PMT(BN218/12,Podsumowanie!E$8-SUM(AB$5:AB218)+1,BO218),0)</f>
        <v>-1816.7137337835259</v>
      </c>
      <c r="BS218" s="10">
        <f t="shared" si="264"/>
        <v>-432.49573317118416</v>
      </c>
      <c r="BU218" s="11">
        <f>BU$5+SUM(BW$5:BW217)+SUM(R$5:R217)-SUM(S$5:S217)+SUM(BY$5,BY217)</f>
        <v>236701.62684305245</v>
      </c>
      <c r="BV218" s="10">
        <f t="shared" si="261"/>
        <v>-577.9464722084531</v>
      </c>
      <c r="BW218" s="10">
        <f t="shared" si="262"/>
        <v>-1111.2752433946125</v>
      </c>
      <c r="BX218" s="10">
        <f t="shared" si="271"/>
        <v>-1689.2217156030656</v>
      </c>
      <c r="BY218" s="10">
        <f t="shared" si="272"/>
        <v>-559.9877513516444</v>
      </c>
      <c r="CA218" s="10">
        <f>CA$5+SUM(CB$5:CB217)+SUM(R$5:R217)-SUM(S$5:S217)-SUM(CC$5:CC217)</f>
        <v>273139.78015946504</v>
      </c>
      <c r="CB218" s="10">
        <f t="shared" si="265"/>
        <v>577.9464722084531</v>
      </c>
      <c r="CC218" s="10">
        <f t="shared" si="266"/>
        <v>2249.20946695471</v>
      </c>
      <c r="CD218" s="10">
        <f t="shared" si="267"/>
        <v>1671.262994746257</v>
      </c>
      <c r="CF218" s="44">
        <f t="shared" si="263"/>
        <v>0.3834</v>
      </c>
      <c r="CG218" s="10">
        <f t="shared" si="268"/>
        <v>-862.35</v>
      </c>
      <c r="CH218" s="4">
        <f t="shared" si="273"/>
        <v>0</v>
      </c>
    </row>
    <row r="219" spans="1:86" ht="15.75">
      <c r="A219" s="36"/>
      <c r="B219" s="37">
        <v>43770</v>
      </c>
      <c r="C219" s="77">
        <f t="shared" si="257"/>
        <v>3.902</v>
      </c>
      <c r="D219" s="79">
        <f>C219*(1+Podsumowanie!E$11)</f>
        <v>4.0190600000000005</v>
      </c>
      <c r="E219" s="34">
        <f t="shared" si="322"/>
        <v>-562.2830657441853</v>
      </c>
      <c r="F219" s="7">
        <f t="shared" si="323"/>
        <v>-2259.8493782098253</v>
      </c>
      <c r="G219" s="7">
        <f t="shared" si="324"/>
        <v>-1240.1636578424548</v>
      </c>
      <c r="H219" s="7">
        <f t="shared" si="325"/>
        <v>1019.6857203673705</v>
      </c>
      <c r="I219" s="32"/>
      <c r="K219" s="4">
        <f>IF(B219&lt;Podsumowanie!E$7,0,K218+1)</f>
        <v>149</v>
      </c>
      <c r="L219" s="100">
        <f t="shared" si="258"/>
        <v>-0.0076</v>
      </c>
      <c r="M219" s="38">
        <f>L219+Podsumowanie!E$6</f>
        <v>0.0044</v>
      </c>
      <c r="N219" s="101">
        <f>MAX(Podsumowanie!E$4+SUM(AA$5:AA218)-SUM(X$5:X219)+SUM(W$5:W219),0)</f>
        <v>115188.53053291005</v>
      </c>
      <c r="O219" s="102">
        <f>MAX(Podsumowanie!E$2+SUM(V$5:V218)-SUM(S$5:S219)+SUM(R$5:R219),0)</f>
        <v>254058.21030395897</v>
      </c>
      <c r="P219" s="39">
        <f t="shared" si="189"/>
        <v>360</v>
      </c>
      <c r="Q219" s="40" t="str">
        <f>IF(AND(K219&gt;0,K219&lt;=Podsumowanie!E$9),"tak","nie")</f>
        <v>nie</v>
      </c>
      <c r="R219" s="41"/>
      <c r="S219" s="42"/>
      <c r="T219" s="88">
        <f t="shared" si="326"/>
        <v>-93.15467711145163</v>
      </c>
      <c r="U219" s="89">
        <f>IF(Q219="tak",T219,IF(P219-SUM(AB$5:AB219)+1&gt;0,IF(Podsumowanie!E$7&lt;B219,IF(SUM(AB$5:AB219)-Podsumowanie!E$9+1&gt;0,PMT(M219/12,P219+1-SUM(AB$5:AB219),O219),T219),0),0))</f>
        <v>-1240.1636578424548</v>
      </c>
      <c r="V219" s="89">
        <f t="shared" si="327"/>
        <v>-1147.0089807310032</v>
      </c>
      <c r="W219" s="90" t="str">
        <f>IF(R219&gt;0,R219/(C219*(1-Podsumowanie!E$11))," ")</f>
        <v xml:space="preserve"> </v>
      </c>
      <c r="X219" s="90" t="str">
        <f t="shared" si="295"/>
        <v xml:space="preserve"> </v>
      </c>
      <c r="Y219" s="91">
        <f t="shared" si="328"/>
        <v>-42.235794528733685</v>
      </c>
      <c r="Z219" s="90">
        <f>IF(P219-SUM(AB$5:AB219)+1&gt;0,IF(Podsumowanie!E$7&lt;B219,IF(SUM(AB$5:AB219)-Podsumowanie!E$9+1&gt;0,PMT(M219/12,P219+1-SUM(AB$5:AB219),N219),Y219),0),0)</f>
        <v>-562.2830657441853</v>
      </c>
      <c r="AA219" s="90">
        <f t="shared" si="329"/>
        <v>-520.0472712154516</v>
      </c>
      <c r="AB219" s="8">
        <f>IF(AND(Podsumowanie!E$7&lt;B219,SUM(AB$5:AB218)&lt;P218),1," ")</f>
        <v>1</v>
      </c>
      <c r="AD219" s="10">
        <f>Podsumowanie!E$4-SUM(AF$5:AF218)+SUM(W$42:W219)-SUM(X$42:X219)</f>
        <v>107097.09813555234</v>
      </c>
      <c r="AE219" s="10">
        <f t="shared" si="330"/>
        <v>39.27</v>
      </c>
      <c r="AF219" s="10">
        <f t="shared" si="331"/>
        <v>505.17</v>
      </c>
      <c r="AG219" s="10">
        <f t="shared" si="332"/>
        <v>544.44</v>
      </c>
      <c r="AH219" s="10">
        <f t="shared" si="296"/>
        <v>2188.14</v>
      </c>
      <c r="AI219" s="10">
        <f>Podsumowanie!E$2-SUM(AK$5:AK218)+SUM(R$42:R219)-SUM(S$42:S219)</f>
        <v>236211.4599999998</v>
      </c>
      <c r="AJ219" s="10">
        <f t="shared" si="333"/>
        <v>86.61</v>
      </c>
      <c r="AK219" s="10">
        <f t="shared" si="334"/>
        <v>1114.21</v>
      </c>
      <c r="AL219" s="10">
        <f t="shared" si="335"/>
        <v>1200.82</v>
      </c>
      <c r="AM219" s="10">
        <f t="shared" si="336"/>
        <v>987.3199999999999</v>
      </c>
      <c r="AO219" s="43">
        <f t="shared" si="297"/>
        <v>43770</v>
      </c>
      <c r="AP219" s="11">
        <f>AP$5+SUM(AS$5:AS218)-SUM(X$5:X219)+SUM(W$5:W219)</f>
        <v>111732.87461692277</v>
      </c>
      <c r="AQ219" s="10">
        <f t="shared" si="337"/>
        <v>-40.968720692871685</v>
      </c>
      <c r="AR219" s="10">
        <f>IF(AB219=1,IF(Q219="tak",AQ219,PMT(M219/12,P219+1-SUM(AB$5:AB219),AP219)),0)</f>
        <v>-545.4145737718598</v>
      </c>
      <c r="AS219" s="10">
        <f t="shared" si="338"/>
        <v>-504.4458530789881</v>
      </c>
      <c r="AT219" s="10">
        <f t="shared" si="184"/>
        <v>-2128.207666857797</v>
      </c>
      <c r="AV219" s="11">
        <f>AV$5+SUM(AX$5:AX218)+SUM(W$5:W218)-SUM(X$5:X218)</f>
        <v>103884.02719148576</v>
      </c>
      <c r="AW219" s="11">
        <f t="shared" si="339"/>
        <v>-40.968720692871685</v>
      </c>
      <c r="AX219" s="11">
        <f t="shared" si="340"/>
        <v>-490.02</v>
      </c>
      <c r="AY219" s="11">
        <f t="shared" si="341"/>
        <v>-530.9887206928717</v>
      </c>
      <c r="AZ219" s="11">
        <f t="shared" si="298"/>
        <v>-2071.9179881435853</v>
      </c>
      <c r="BB219" s="191">
        <f t="shared" si="259"/>
        <v>0.0171</v>
      </c>
      <c r="BC219" s="44">
        <f>BB219+Podsumowanie!$E$6</f>
        <v>0.0291</v>
      </c>
      <c r="BD219" s="11">
        <f>BD$5+SUM(BE$5:BE218)+SUM(R$5:R218)-SUM(S$5:S218)</f>
        <v>293976.31934800016</v>
      </c>
      <c r="BE219" s="10">
        <f t="shared" si="342"/>
        <v>-1055.9103341539553</v>
      </c>
      <c r="BF219" s="10">
        <f t="shared" si="343"/>
        <v>-712.8925744189005</v>
      </c>
      <c r="BG219" s="10">
        <f>IF(U219&lt;0,PMT(BC219/12,Podsumowanie!E$8-SUM(AB$5:AB219)+1,BD219),0)</f>
        <v>-1768.8029085728558</v>
      </c>
      <c r="BI219" s="11">
        <f>BI$5+SUM(BK$5:BK218)+SUM(R$5:R218)-SUM(S$5:S218)</f>
        <v>236211.69916434548</v>
      </c>
      <c r="BJ219" s="11">
        <f t="shared" si="213"/>
        <v>-572.8133704735378</v>
      </c>
      <c r="BK219" s="11">
        <f t="shared" si="214"/>
        <v>-1114.206128133705</v>
      </c>
      <c r="BL219" s="11">
        <f t="shared" si="188"/>
        <v>-1687.019498607243</v>
      </c>
      <c r="BN219" s="44">
        <f t="shared" si="260"/>
        <v>0.0292</v>
      </c>
      <c r="BO219" s="11">
        <f>BO$5+SUM(BP$5:BP218)+SUM(R$5:R218)-SUM(S$5:S218)+SUM(BS$5:BS218)</f>
        <v>301015.807882794</v>
      </c>
      <c r="BP219" s="10">
        <f t="shared" si="269"/>
        <v>-1080.160590228806</v>
      </c>
      <c r="BQ219" s="10">
        <f t="shared" si="270"/>
        <v>-732.4717991814655</v>
      </c>
      <c r="BR219" s="10">
        <f>IF(U219&lt;0,PMT(BN219/12,Podsumowanie!E$8-SUM(AB$5:AB219)+1,BO219),0)</f>
        <v>-1812.6323894102716</v>
      </c>
      <c r="BS219" s="10">
        <f t="shared" si="264"/>
        <v>-447.21698879955375</v>
      </c>
      <c r="BU219" s="11">
        <f>BU$5+SUM(BW$5:BW218)+SUM(R$5:R218)-SUM(S$5:S218)+SUM(BY$5,BY218)</f>
        <v>235630.18296605712</v>
      </c>
      <c r="BV219" s="10">
        <f t="shared" si="261"/>
        <v>-573.366778550739</v>
      </c>
      <c r="BW219" s="10">
        <f t="shared" si="262"/>
        <v>-1111.4631271983826</v>
      </c>
      <c r="BX219" s="10">
        <f t="shared" si="271"/>
        <v>-1684.8299057491217</v>
      </c>
      <c r="BY219" s="10">
        <f t="shared" si="272"/>
        <v>-575.0194724607036</v>
      </c>
      <c r="CA219" s="10">
        <f>CA$5+SUM(CB$5:CB218)+SUM(R$5:R218)-SUM(S$5:S218)-SUM(CC$5:CC218)</f>
        <v>271468.5171647188</v>
      </c>
      <c r="CB219" s="10">
        <f t="shared" si="265"/>
        <v>573.366778550739</v>
      </c>
      <c r="CC219" s="10">
        <f t="shared" si="266"/>
        <v>2259.8493782098253</v>
      </c>
      <c r="CD219" s="10">
        <f t="shared" si="267"/>
        <v>1686.4825996590862</v>
      </c>
      <c r="CF219" s="44">
        <f t="shared" si="263"/>
        <v>0.382</v>
      </c>
      <c r="CG219" s="10">
        <f t="shared" si="268"/>
        <v>-863.26</v>
      </c>
      <c r="CH219" s="4">
        <f t="shared" si="273"/>
        <v>0</v>
      </c>
    </row>
    <row r="220" spans="1:86" ht="15.75">
      <c r="A220" s="36"/>
      <c r="B220" s="37">
        <v>43800</v>
      </c>
      <c r="C220" s="77">
        <f t="shared" si="257"/>
        <v>3.9087</v>
      </c>
      <c r="D220" s="79">
        <f>C220*(1+Podsumowanie!E$11)</f>
        <v>4.025961000000001</v>
      </c>
      <c r="E220" s="34">
        <f t="shared" si="322"/>
        <v>-562.2830657441853</v>
      </c>
      <c r="F220" s="7">
        <f t="shared" si="323"/>
        <v>-2263.729693646526</v>
      </c>
      <c r="G220" s="7">
        <f t="shared" si="324"/>
        <v>-1240.1636578424548</v>
      </c>
      <c r="H220" s="7">
        <f t="shared" si="325"/>
        <v>1023.5660358040711</v>
      </c>
      <c r="I220" s="32"/>
      <c r="K220" s="4">
        <f>IF(B220&lt;Podsumowanie!E$7,0,K219+1)</f>
        <v>150</v>
      </c>
      <c r="L220" s="100">
        <f t="shared" si="258"/>
        <v>-0.0076</v>
      </c>
      <c r="M220" s="38">
        <f>L220+Podsumowanie!E$6</f>
        <v>0.0044</v>
      </c>
      <c r="N220" s="101">
        <f>MAX(Podsumowanie!E$4+SUM(AA$5:AA219)-SUM(X$5:X220)+SUM(W$5:W220),0)</f>
        <v>114668.4832616946</v>
      </c>
      <c r="O220" s="102">
        <f>MAX(Podsumowanie!E$2+SUM(V$5:V219)-SUM(S$5:S220)+SUM(R$5:R220),0)</f>
        <v>252911.20132322796</v>
      </c>
      <c r="P220" s="39">
        <f t="shared" si="189"/>
        <v>360</v>
      </c>
      <c r="Q220" s="40" t="str">
        <f>IF(AND(K220&gt;0,K220&lt;=Podsumowanie!E$9),"tak","nie")</f>
        <v>nie</v>
      </c>
      <c r="R220" s="41"/>
      <c r="S220" s="42"/>
      <c r="T220" s="88">
        <f t="shared" si="326"/>
        <v>-92.73410715185025</v>
      </c>
      <c r="U220" s="89">
        <f>IF(Q220="tak",T220,IF(P220-SUM(AB$5:AB220)+1&gt;0,IF(Podsumowanie!E$7&lt;B220,IF(SUM(AB$5:AB220)-Podsumowanie!E$9+1&gt;0,PMT(M220/12,P220+1-SUM(AB$5:AB220),O220),T220),0),0))</f>
        <v>-1240.1636578424548</v>
      </c>
      <c r="V220" s="89">
        <f t="shared" si="327"/>
        <v>-1147.4295506906046</v>
      </c>
      <c r="W220" s="90" t="str">
        <f>IF(R220&gt;0,R220/(C220*(1-Podsumowanie!E$11))," ")</f>
        <v xml:space="preserve"> </v>
      </c>
      <c r="X220" s="90" t="str">
        <f t="shared" si="295"/>
        <v xml:space="preserve"> </v>
      </c>
      <c r="Y220" s="91">
        <f t="shared" si="328"/>
        <v>-42.04511052928802</v>
      </c>
      <c r="Z220" s="90">
        <f>IF(P220-SUM(AB$5:AB220)+1&gt;0,IF(Podsumowanie!E$7&lt;B220,IF(SUM(AB$5:AB220)-Podsumowanie!E$9+1&gt;0,PMT(M220/12,P220+1-SUM(AB$5:AB220),N220),Y220),0),0)</f>
        <v>-562.2830657441853</v>
      </c>
      <c r="AA220" s="90">
        <f t="shared" si="329"/>
        <v>-520.2379552148973</v>
      </c>
      <c r="AB220" s="8">
        <f>IF(AND(Podsumowanie!E$7&lt;B220,SUM(AB$5:AB219)&lt;P219),1," ")</f>
        <v>1</v>
      </c>
      <c r="AD220" s="10">
        <f>Podsumowanie!E$4-SUM(AF$5:AF219)+SUM(W$42:W220)-SUM(X$42:X220)</f>
        <v>106591.92813555234</v>
      </c>
      <c r="AE220" s="10">
        <f t="shared" si="330"/>
        <v>39.08</v>
      </c>
      <c r="AF220" s="10">
        <f t="shared" si="331"/>
        <v>505.18</v>
      </c>
      <c r="AG220" s="10">
        <f t="shared" si="332"/>
        <v>544.26</v>
      </c>
      <c r="AH220" s="10">
        <f t="shared" si="296"/>
        <v>2191.17</v>
      </c>
      <c r="AI220" s="10">
        <f>Podsumowanie!E$2-SUM(AK$5:AK219)+SUM(R$42:R220)-SUM(S$42:S220)</f>
        <v>235097.2499999998</v>
      </c>
      <c r="AJ220" s="10">
        <f t="shared" si="333"/>
        <v>86.2</v>
      </c>
      <c r="AK220" s="10">
        <f t="shared" si="334"/>
        <v>1114.2</v>
      </c>
      <c r="AL220" s="10">
        <f t="shared" si="335"/>
        <v>1200.4</v>
      </c>
      <c r="AM220" s="10">
        <f t="shared" si="336"/>
        <v>990.77</v>
      </c>
      <c r="AO220" s="43">
        <f t="shared" si="297"/>
        <v>43800</v>
      </c>
      <c r="AP220" s="11">
        <f>AP$5+SUM(AS$5:AS219)-SUM(X$5:X220)+SUM(W$5:W220)</f>
        <v>111228.42876384378</v>
      </c>
      <c r="AQ220" s="10">
        <f t="shared" si="337"/>
        <v>-40.78375721340939</v>
      </c>
      <c r="AR220" s="10">
        <f>IF(AB220=1,IF(Q220="tak",AQ220,PMT(M220/12,P220+1-SUM(AB$5:AB220),AP220)),0)</f>
        <v>-545.4145737718599</v>
      </c>
      <c r="AS220" s="10">
        <f t="shared" si="338"/>
        <v>-504.6308165584505</v>
      </c>
      <c r="AT220" s="10">
        <f t="shared" si="184"/>
        <v>-2131.8619445020686</v>
      </c>
      <c r="AV220" s="11">
        <f>AV$5+SUM(AX$5:AX219)+SUM(W$5:W219)-SUM(X$5:X219)</f>
        <v>103394.00719148575</v>
      </c>
      <c r="AW220" s="11">
        <f t="shared" si="339"/>
        <v>-40.78375721340939</v>
      </c>
      <c r="AX220" s="11">
        <f t="shared" si="340"/>
        <v>-490.02</v>
      </c>
      <c r="AY220" s="11">
        <f t="shared" si="341"/>
        <v>-530.8037572134094</v>
      </c>
      <c r="AZ220" s="11">
        <f t="shared" si="298"/>
        <v>-2074.7526458200537</v>
      </c>
      <c r="BB220" s="191">
        <f t="shared" si="259"/>
        <v>0.017</v>
      </c>
      <c r="BC220" s="44">
        <f>BB220+Podsumowanie!$E$6</f>
        <v>0.029</v>
      </c>
      <c r="BD220" s="11">
        <f>BD$5+SUM(BE$5:BE219)+SUM(R$5:R219)-SUM(S$5:S219)</f>
        <v>292920.4090138462</v>
      </c>
      <c r="BE220" s="10">
        <f t="shared" si="342"/>
        <v>-1059.4790582003093</v>
      </c>
      <c r="BF220" s="10">
        <f t="shared" si="343"/>
        <v>-707.8909884501282</v>
      </c>
      <c r="BG220" s="10">
        <f>IF(U220&lt;0,PMT(BC220/12,Podsumowanie!E$8-SUM(AB$5:AB220)+1,BD220),0)</f>
        <v>-1767.3700466504376</v>
      </c>
      <c r="BI220" s="11">
        <f>BI$5+SUM(BK$5:BK219)+SUM(R$5:R219)-SUM(S$5:S219)</f>
        <v>235097.4930362118</v>
      </c>
      <c r="BJ220" s="11">
        <f t="shared" si="213"/>
        <v>-568.1522748375119</v>
      </c>
      <c r="BK220" s="11">
        <f t="shared" si="214"/>
        <v>-1114.206128133705</v>
      </c>
      <c r="BL220" s="11">
        <f t="shared" si="188"/>
        <v>-1682.358402971217</v>
      </c>
      <c r="BN220" s="44">
        <f t="shared" si="260"/>
        <v>0.0291</v>
      </c>
      <c r="BO220" s="11">
        <f>BO$5+SUM(BP$5:BP219)+SUM(R$5:R219)-SUM(S$5:S219)+SUM(BS$5:BS219)</f>
        <v>299488.4303037657</v>
      </c>
      <c r="BP220" s="10">
        <f t="shared" si="269"/>
        <v>-1082.2045293333003</v>
      </c>
      <c r="BQ220" s="10">
        <f t="shared" si="270"/>
        <v>-726.2594434866319</v>
      </c>
      <c r="BR220" s="10">
        <f>IF(U220&lt;0,PMT(BN220/12,Podsumowanie!E$8-SUM(AB$5:AB220)+1,BO220),0)</f>
        <v>-1808.4639728199322</v>
      </c>
      <c r="BS220" s="10">
        <f t="shared" si="264"/>
        <v>-455.2657208265937</v>
      </c>
      <c r="BU220" s="11">
        <f>BU$5+SUM(BW$5:BW219)+SUM(R$5:R219)-SUM(S$5:S219)+SUM(BY$5,BY219)</f>
        <v>234503.68811774967</v>
      </c>
      <c r="BV220" s="10">
        <f t="shared" si="261"/>
        <v>-568.671443685543</v>
      </c>
      <c r="BW220" s="10">
        <f t="shared" si="262"/>
        <v>-1111.3918868139795</v>
      </c>
      <c r="BX220" s="10">
        <f t="shared" si="271"/>
        <v>-1680.0633304995224</v>
      </c>
      <c r="BY220" s="10">
        <f t="shared" si="272"/>
        <v>-583.6663631470035</v>
      </c>
      <c r="CA220" s="10">
        <f>CA$5+SUM(CB$5:CB219)+SUM(R$5:R219)-SUM(S$5:S219)-SUM(CC$5:CC219)</f>
        <v>269782.03456505964</v>
      </c>
      <c r="CB220" s="10">
        <f t="shared" si="265"/>
        <v>568.671443685543</v>
      </c>
      <c r="CC220" s="10">
        <f t="shared" si="266"/>
        <v>2263.729693646526</v>
      </c>
      <c r="CD220" s="10">
        <f t="shared" si="267"/>
        <v>1695.058249960983</v>
      </c>
      <c r="CF220" s="44">
        <f t="shared" si="263"/>
        <v>0.371</v>
      </c>
      <c r="CG220" s="10">
        <f t="shared" si="268"/>
        <v>-839.84</v>
      </c>
      <c r="CH220" s="4">
        <f t="shared" si="273"/>
        <v>0</v>
      </c>
    </row>
    <row r="221" spans="1:86" ht="15.75">
      <c r="A221" s="36">
        <v>2020</v>
      </c>
      <c r="B221" s="37">
        <v>43831</v>
      </c>
      <c r="C221" s="77">
        <f t="shared" si="257"/>
        <v>3.9451</v>
      </c>
      <c r="D221" s="79">
        <f>C221*(1+Podsumowanie!E$11)</f>
        <v>4.063453</v>
      </c>
      <c r="E221" s="34">
        <f aca="true" t="shared" si="344" ref="E221:E228">Z221</f>
        <v>-562.2830657441853</v>
      </c>
      <c r="F221" s="7">
        <f aca="true" t="shared" si="345" ref="F221:F228">E221*D221</f>
        <v>-2284.810810347407</v>
      </c>
      <c r="G221" s="7">
        <f aca="true" t="shared" si="346" ref="G221:G228">U221</f>
        <v>-1240.1636578424548</v>
      </c>
      <c r="H221" s="7">
        <f aca="true" t="shared" si="347" ref="H221:H228">G221-F221</f>
        <v>1044.6471525049521</v>
      </c>
      <c r="I221" s="32"/>
      <c r="K221" s="4">
        <f>IF(B221&lt;Podsumowanie!E$7,0,K220+1)</f>
        <v>151</v>
      </c>
      <c r="L221" s="100">
        <f t="shared" si="258"/>
        <v>-0.0076</v>
      </c>
      <c r="M221" s="38">
        <f>L221+Podsumowanie!E$6</f>
        <v>0.0044</v>
      </c>
      <c r="N221" s="101">
        <f>MAX(Podsumowanie!E$4+SUM(AA$5:AA220)-SUM(X$5:X221)+SUM(W$5:W221),0)</f>
        <v>114148.2453064797</v>
      </c>
      <c r="O221" s="102">
        <f>MAX(Podsumowanie!E$2+SUM(V$5:V220)-SUM(S$5:S221)+SUM(R$5:R221),0)</f>
        <v>251763.77177253735</v>
      </c>
      <c r="P221" s="39">
        <f t="shared" si="189"/>
        <v>360</v>
      </c>
      <c r="Q221" s="40" t="str">
        <f>IF(AND(K221&gt;0,K221&lt;=Podsumowanie!E$9),"tak","nie")</f>
        <v>nie</v>
      </c>
      <c r="R221" s="41"/>
      <c r="S221" s="42"/>
      <c r="T221" s="88">
        <f aca="true" t="shared" si="348" ref="T221:T228">IF(AB221=1,-O221*M221/12,0)</f>
        <v>-92.3133829832637</v>
      </c>
      <c r="U221" s="89">
        <f>IF(Q221="tak",T221,IF(P221-SUM(AB$5:AB221)+1&gt;0,IF(Podsumowanie!E$7&lt;B221,IF(SUM(AB$5:AB221)-Podsumowanie!E$9+1&gt;0,PMT(M221/12,P221+1-SUM(AB$5:AB221),O221),T221),0),0))</f>
        <v>-1240.1636578424548</v>
      </c>
      <c r="V221" s="89">
        <f aca="true" t="shared" si="349" ref="V221:V228">U221-T221</f>
        <v>-1147.8502748591911</v>
      </c>
      <c r="W221" s="90" t="str">
        <f>IF(R221&gt;0,R221/(C221*(1-Podsumowanie!E$11))," ")</f>
        <v xml:space="preserve"> </v>
      </c>
      <c r="X221" s="90" t="str">
        <f aca="true" t="shared" si="350" ref="X221:X228">IF(S221&gt;0,S221/D221," ")</f>
        <v xml:space="preserve"> </v>
      </c>
      <c r="Y221" s="91">
        <f aca="true" t="shared" si="351" ref="Y221:Y228">IF(AB221=1,-N221*M221/12,0)</f>
        <v>-41.854356612375895</v>
      </c>
      <c r="Z221" s="90">
        <f>IF(P221-SUM(AB$5:AB221)+1&gt;0,IF(Podsumowanie!E$7&lt;B221,IF(SUM(AB$5:AB221)-Podsumowanie!E$9+1&gt;0,PMT(M221/12,P221+1-SUM(AB$5:AB221),N221),Y221),0),0)</f>
        <v>-562.2830657441853</v>
      </c>
      <c r="AA221" s="90">
        <f aca="true" t="shared" si="352" ref="AA221:AA228">Z221-Y221</f>
        <v>-520.4287091318093</v>
      </c>
      <c r="AB221" s="8">
        <f>IF(AND(Podsumowanie!E$7&lt;B221,SUM(AB$5:AB220)&lt;P220),1," ")</f>
        <v>1</v>
      </c>
      <c r="AD221" s="10">
        <f>Podsumowanie!E$4-SUM(AF$5:AF220)+SUM(W$42:W221)-SUM(X$42:X221)</f>
        <v>106086.74813555235</v>
      </c>
      <c r="AE221" s="10">
        <f aca="true" t="shared" si="353" ref="AE221:AE228">IF(AB221=1,ROUND(AD221*M221/12,2),0)</f>
        <v>38.9</v>
      </c>
      <c r="AF221" s="10">
        <f aca="true" t="shared" si="354" ref="AF221:AF228">IF(Q221="tak",0,IF(AB221=1,ROUND(AD221/(P221-K221+1),2),0))</f>
        <v>505.17</v>
      </c>
      <c r="AG221" s="10">
        <f aca="true" t="shared" si="355" ref="AG221:AG228">AF221+AE221</f>
        <v>544.07</v>
      </c>
      <c r="AH221" s="10">
        <f aca="true" t="shared" si="356" ref="AH221:AH228">ROUND(AG221*D221,2)</f>
        <v>2210.8</v>
      </c>
      <c r="AI221" s="10">
        <f>Podsumowanie!E$2-SUM(AK$5:AK220)+SUM(R$42:R221)-SUM(S$42:S221)</f>
        <v>233983.04999999978</v>
      </c>
      <c r="AJ221" s="10">
        <f aca="true" t="shared" si="357" ref="AJ221:AJ228">IF(AB221=1,ROUND(AI221*M221/12,2),0)</f>
        <v>85.79</v>
      </c>
      <c r="AK221" s="10">
        <f aca="true" t="shared" si="358" ref="AK221:AK228">IF(Q221="tak",0,IF(AB221=1,ROUND(AI221/(P221-K221+1),2),0))</f>
        <v>1114.21</v>
      </c>
      <c r="AL221" s="10">
        <f aca="true" t="shared" si="359" ref="AL221:AL228">AK221+AJ221</f>
        <v>1200</v>
      </c>
      <c r="AM221" s="10">
        <f aca="true" t="shared" si="360" ref="AM221:AM228">AH221-AL221</f>
        <v>1010.8000000000002</v>
      </c>
      <c r="AO221" s="43">
        <f aca="true" t="shared" si="361" ref="AO221:AO228">B221</f>
        <v>43831</v>
      </c>
      <c r="AP221" s="11">
        <f>AP$5+SUM(AS$5:AS220)-SUM(X$5:X221)+SUM(W$5:W221)</f>
        <v>110723.79794728533</v>
      </c>
      <c r="AQ221" s="10">
        <f aca="true" t="shared" si="362" ref="AQ221:AQ228">IF(AB221=1,-AP221*M221/12,0)</f>
        <v>-40.598725914004625</v>
      </c>
      <c r="AR221" s="10">
        <f>IF(AB221=1,IF(Q221="tak",AQ221,PMT(M221/12,P221+1-SUM(AB$5:AB221),AP221)),0)</f>
        <v>-545.4145737718599</v>
      </c>
      <c r="AS221" s="10">
        <f aca="true" t="shared" si="363" ref="AS221:AS228">AR221-AQ221</f>
        <v>-504.81584785785526</v>
      </c>
      <c r="AT221" s="10">
        <f t="shared" si="184"/>
        <v>-2151.7150349873646</v>
      </c>
      <c r="AV221" s="11">
        <f>AV$5+SUM(AX$5:AX220)+SUM(W$5:W220)-SUM(X$5:X220)</f>
        <v>102903.98719148575</v>
      </c>
      <c r="AW221" s="11">
        <f aca="true" t="shared" si="364" ref="AW221:AW228">IF(AB221=1,-AP221*M221/12,0)</f>
        <v>-40.598725914004625</v>
      </c>
      <c r="AX221" s="11">
        <f aca="true" t="shared" si="365" ref="AX221:AX228">IF(AB221=1,IF(Q221="tak",0,ROUND(-AV221/(P221-K221+1),2)),0)</f>
        <v>-490.02</v>
      </c>
      <c r="AY221" s="11">
        <f aca="true" t="shared" si="366" ref="AY221:AY228">AX221+AW221</f>
        <v>-530.6187259140046</v>
      </c>
      <c r="AZ221" s="11">
        <f aca="true" t="shared" si="367" ref="AZ221:AZ228">AY221*C221</f>
        <v>-2093.3439356033396</v>
      </c>
      <c r="BB221" s="191">
        <f t="shared" si="259"/>
        <v>0.0171</v>
      </c>
      <c r="BC221" s="44">
        <f>BB221+Podsumowanie!$E$6</f>
        <v>0.0291</v>
      </c>
      <c r="BD221" s="11">
        <f>BD$5+SUM(BE$5:BE220)+SUM(R$5:R220)-SUM(S$5:S220)</f>
        <v>291860.92995564593</v>
      </c>
      <c r="BE221" s="10">
        <f aca="true" t="shared" si="368" ref="BE221:BE228">IF(BG221&lt;0,BG221-BF221,0)</f>
        <v>-1061.0340436800152</v>
      </c>
      <c r="BF221" s="10">
        <f aca="true" t="shared" si="369" ref="BF221:BF228">IF(BG221&lt;0,-BD221*BC221/12,0)</f>
        <v>-707.7627551424415</v>
      </c>
      <c r="BG221" s="10">
        <f>IF(U221&lt;0,PMT(BC221/12,Podsumowanie!E$8-SUM(AB$5:AB221)+1,BD221),0)</f>
        <v>-1768.7967988224568</v>
      </c>
      <c r="BI221" s="11">
        <f>BI$5+SUM(BK$5:BK220)+SUM(R$5:R220)-SUM(S$5:S220)</f>
        <v>233983.2869080781</v>
      </c>
      <c r="BJ221" s="11">
        <f t="shared" si="213"/>
        <v>-567.4094707520894</v>
      </c>
      <c r="BK221" s="11">
        <f t="shared" si="214"/>
        <v>-1114.2061281337053</v>
      </c>
      <c r="BL221" s="11">
        <f t="shared" si="188"/>
        <v>-1681.6155988857947</v>
      </c>
      <c r="BN221" s="44">
        <f t="shared" si="260"/>
        <v>0.0292</v>
      </c>
      <c r="BO221" s="11">
        <f>BO$5+SUM(BP$5:BP220)+SUM(R$5:R220)-SUM(S$5:S220)+SUM(BS$5:BS220)</f>
        <v>297950.9600536058</v>
      </c>
      <c r="BP221" s="10">
        <f t="shared" si="269"/>
        <v>-1082.1481026628308</v>
      </c>
      <c r="BQ221" s="10">
        <f t="shared" si="270"/>
        <v>-725.0140027971074</v>
      </c>
      <c r="BR221" s="10">
        <f>IF(U221&lt;0,PMT(BN221/12,Podsumowanie!E$8-SUM(AB$5:AB221)+1,BO221),0)</f>
        <v>-1807.1621054599382</v>
      </c>
      <c r="BS221" s="10">
        <f t="shared" si="264"/>
        <v>-477.64870488746874</v>
      </c>
      <c r="BU221" s="11">
        <f>BU$5+SUM(BW$5:BW220)+SUM(R$5:R220)-SUM(S$5:S220)+SUM(BY$5,BY220)</f>
        <v>233383.6493402494</v>
      </c>
      <c r="BV221" s="10">
        <f t="shared" si="261"/>
        <v>-567.9002133946068</v>
      </c>
      <c r="BW221" s="10">
        <f t="shared" si="262"/>
        <v>-1111.3507111440447</v>
      </c>
      <c r="BX221" s="10">
        <f t="shared" si="271"/>
        <v>-1679.2509245386514</v>
      </c>
      <c r="BY221" s="10">
        <f t="shared" si="272"/>
        <v>-605.5598858087556</v>
      </c>
      <c r="CA221" s="10">
        <f>CA$5+SUM(CB$5:CB220)+SUM(R$5:R220)-SUM(S$5:S220)-SUM(CC$5:CC220)</f>
        <v>268086.97631509876</v>
      </c>
      <c r="CB221" s="10">
        <f t="shared" si="265"/>
        <v>567.9002133946068</v>
      </c>
      <c r="CC221" s="10">
        <f t="shared" si="266"/>
        <v>2284.810810347407</v>
      </c>
      <c r="CD221" s="10">
        <f t="shared" si="267"/>
        <v>1716.9105969528</v>
      </c>
      <c r="CF221" s="44">
        <f t="shared" si="263"/>
        <v>0.3588</v>
      </c>
      <c r="CG221" s="10">
        <f t="shared" si="268"/>
        <v>-819.79</v>
      </c>
      <c r="CH221" s="4">
        <f t="shared" si="273"/>
        <v>0</v>
      </c>
    </row>
    <row r="222" spans="1:86" ht="15.75">
      <c r="A222" s="36"/>
      <c r="B222" s="37">
        <v>43862</v>
      </c>
      <c r="C222" s="77">
        <f t="shared" si="257"/>
        <v>4.0166</v>
      </c>
      <c r="D222" s="79">
        <f>C222*(1+Podsumowanie!E$11)</f>
        <v>4.137098000000001</v>
      </c>
      <c r="E222" s="34">
        <f t="shared" si="344"/>
        <v>-562.2830657441853</v>
      </c>
      <c r="F222" s="7">
        <f t="shared" si="345"/>
        <v>-2326.220146724138</v>
      </c>
      <c r="G222" s="7">
        <f t="shared" si="346"/>
        <v>-1240.1636578424545</v>
      </c>
      <c r="H222" s="7">
        <f t="shared" si="347"/>
        <v>1086.0564888816834</v>
      </c>
      <c r="I222" s="32"/>
      <c r="K222" s="4">
        <f>IF(B222&lt;Podsumowanie!E$7,0,K221+1)</f>
        <v>152</v>
      </c>
      <c r="L222" s="100">
        <f t="shared" si="258"/>
        <v>-0.0076</v>
      </c>
      <c r="M222" s="38">
        <f>L222+Podsumowanie!E$6</f>
        <v>0.0044</v>
      </c>
      <c r="N222" s="101">
        <f>MAX(Podsumowanie!E$4+SUM(AA$5:AA221)-SUM(X$5:X222)+SUM(W$5:W222),0)</f>
        <v>113627.81659734789</v>
      </c>
      <c r="O222" s="102">
        <f>MAX(Podsumowanie!E$2+SUM(V$5:V221)-SUM(S$5:S222)+SUM(R$5:R222),0)</f>
        <v>250615.92149767815</v>
      </c>
      <c r="P222" s="39">
        <f t="shared" si="189"/>
        <v>360</v>
      </c>
      <c r="Q222" s="40" t="str">
        <f>IF(AND(K222&gt;0,K222&lt;=Podsumowanie!E$9),"tak","nie")</f>
        <v>nie</v>
      </c>
      <c r="R222" s="41"/>
      <c r="S222" s="42"/>
      <c r="T222" s="88">
        <f t="shared" si="348"/>
        <v>-91.89250454914867</v>
      </c>
      <c r="U222" s="89">
        <f>IF(Q222="tak",T222,IF(P222-SUM(AB$5:AB222)+1&gt;0,IF(Podsumowanie!E$7&lt;B222,IF(SUM(AB$5:AB222)-Podsumowanie!E$9+1&gt;0,PMT(M222/12,P222+1-SUM(AB$5:AB222),O222),T222),0),0))</f>
        <v>-1240.1636578424545</v>
      </c>
      <c r="V222" s="89">
        <f t="shared" si="349"/>
        <v>-1148.2711532933058</v>
      </c>
      <c r="W222" s="90" t="str">
        <f>IF(R222&gt;0,R222/(C222*(1-Podsumowanie!E$11))," ")</f>
        <v xml:space="preserve"> </v>
      </c>
      <c r="X222" s="90" t="str">
        <f t="shared" si="350"/>
        <v xml:space="preserve"> </v>
      </c>
      <c r="Y222" s="91">
        <f t="shared" si="351"/>
        <v>-41.663532752360894</v>
      </c>
      <c r="Z222" s="90">
        <f>IF(P222-SUM(AB$5:AB222)+1&gt;0,IF(Podsumowanie!E$7&lt;B222,IF(SUM(AB$5:AB222)-Podsumowanie!E$9+1&gt;0,PMT(M222/12,P222+1-SUM(AB$5:AB222),N222),Y222),0),0)</f>
        <v>-562.2830657441853</v>
      </c>
      <c r="AA222" s="90">
        <f t="shared" si="352"/>
        <v>-520.6195329918244</v>
      </c>
      <c r="AB222" s="8">
        <f>IF(AND(Podsumowanie!E$7&lt;B222,SUM(AB$5:AB221)&lt;P221),1," ")</f>
        <v>1</v>
      </c>
      <c r="AD222" s="10">
        <f>Podsumowanie!E$4-SUM(AF$5:AF221)+SUM(W$42:W222)-SUM(X$42:X222)</f>
        <v>105581.57813555235</v>
      </c>
      <c r="AE222" s="10">
        <f t="shared" si="353"/>
        <v>38.71</v>
      </c>
      <c r="AF222" s="10">
        <f t="shared" si="354"/>
        <v>505.18</v>
      </c>
      <c r="AG222" s="10">
        <f t="shared" si="355"/>
        <v>543.89</v>
      </c>
      <c r="AH222" s="10">
        <f t="shared" si="356"/>
        <v>2250.13</v>
      </c>
      <c r="AI222" s="10">
        <f>Podsumowanie!E$2-SUM(AK$5:AK221)+SUM(R$42:R222)-SUM(S$42:S222)</f>
        <v>232868.8399999998</v>
      </c>
      <c r="AJ222" s="10">
        <f t="shared" si="357"/>
        <v>85.39</v>
      </c>
      <c r="AK222" s="10">
        <f t="shared" si="358"/>
        <v>1114.2</v>
      </c>
      <c r="AL222" s="10">
        <f t="shared" si="359"/>
        <v>1199.5900000000001</v>
      </c>
      <c r="AM222" s="10">
        <f t="shared" si="360"/>
        <v>1050.54</v>
      </c>
      <c r="AO222" s="43">
        <f t="shared" si="361"/>
        <v>43862</v>
      </c>
      <c r="AP222" s="11">
        <f>AP$5+SUM(AS$5:AS221)-SUM(X$5:X222)+SUM(W$5:W222)</f>
        <v>110218.98209942748</v>
      </c>
      <c r="AQ222" s="10">
        <f t="shared" si="362"/>
        <v>-40.41362676979008</v>
      </c>
      <c r="AR222" s="10">
        <f>IF(AB222=1,IF(Q222="tak",AQ222,PMT(M222/12,P222+1-SUM(AB$5:AB222),AP222)),0)</f>
        <v>-545.4145737718599</v>
      </c>
      <c r="AS222" s="10">
        <f t="shared" si="363"/>
        <v>-505.0009470020698</v>
      </c>
      <c r="AT222" s="10">
        <f t="shared" si="184"/>
        <v>-2190.7121770120525</v>
      </c>
      <c r="AV222" s="11">
        <f>AV$5+SUM(AX$5:AX221)+SUM(W$5:W221)-SUM(X$5:X221)</f>
        <v>102413.96719148575</v>
      </c>
      <c r="AW222" s="11">
        <f t="shared" si="364"/>
        <v>-40.41362676979008</v>
      </c>
      <c r="AX222" s="11">
        <f t="shared" si="365"/>
        <v>-490.02</v>
      </c>
      <c r="AY222" s="11">
        <f t="shared" si="366"/>
        <v>-530.4336267697901</v>
      </c>
      <c r="AZ222" s="11">
        <f t="shared" si="367"/>
        <v>-2130.539705283539</v>
      </c>
      <c r="BB222" s="191">
        <f t="shared" si="259"/>
        <v>0.0171</v>
      </c>
      <c r="BC222" s="44">
        <f>BB222+Podsumowanie!$E$6</f>
        <v>0.0291</v>
      </c>
      <c r="BD222" s="11">
        <f>BD$5+SUM(BE$5:BE221)+SUM(R$5:R221)-SUM(S$5:S221)</f>
        <v>290799.89591196587</v>
      </c>
      <c r="BE222" s="10">
        <f t="shared" si="368"/>
        <v>-1063.6070512359393</v>
      </c>
      <c r="BF222" s="10">
        <f t="shared" si="369"/>
        <v>-705.1897475865172</v>
      </c>
      <c r="BG222" s="10">
        <f>IF(U222&lt;0,PMT(BC222/12,Podsumowanie!E$8-SUM(AB$5:AB222)+1,BD222),0)</f>
        <v>-1768.7967988224566</v>
      </c>
      <c r="BI222" s="11">
        <f>BI$5+SUM(BK$5:BK221)+SUM(R$5:R221)-SUM(S$5:S221)</f>
        <v>232869.0807799444</v>
      </c>
      <c r="BJ222" s="11">
        <f t="shared" si="213"/>
        <v>-564.7075208913652</v>
      </c>
      <c r="BK222" s="11">
        <f t="shared" si="214"/>
        <v>-1114.2061281337053</v>
      </c>
      <c r="BL222" s="11">
        <f t="shared" si="188"/>
        <v>-1678.9136490250705</v>
      </c>
      <c r="BN222" s="44">
        <f t="shared" si="260"/>
        <v>0.0292</v>
      </c>
      <c r="BO222" s="11">
        <f>BO$5+SUM(BP$5:BP221)+SUM(R$5:R221)-SUM(S$5:S221)+SUM(BS$5:BS221)</f>
        <v>296391.1632460555</v>
      </c>
      <c r="BP222" s="10">
        <f t="shared" si="269"/>
        <v>-1083.035964836427</v>
      </c>
      <c r="BQ222" s="10">
        <f t="shared" si="270"/>
        <v>-721.2184972320683</v>
      </c>
      <c r="BR222" s="10">
        <f>IF(U222&lt;0,PMT(BN222/12,Podsumowanie!E$8-SUM(AB$5:AB222)+1,BO222),0)</f>
        <v>-1804.2544620684953</v>
      </c>
      <c r="BS222" s="10">
        <f t="shared" si="264"/>
        <v>-521.9656846556427</v>
      </c>
      <c r="BU222" s="11">
        <f>BU$5+SUM(BW$5:BW221)+SUM(R$5:R221)-SUM(S$5:S221)+SUM(BY$5,BY221)</f>
        <v>232250.4051064436</v>
      </c>
      <c r="BV222" s="10">
        <f t="shared" si="261"/>
        <v>-565.1426524256794</v>
      </c>
      <c r="BW222" s="10">
        <f t="shared" si="262"/>
        <v>-1111.2459574470986</v>
      </c>
      <c r="BX222" s="10">
        <f t="shared" si="271"/>
        <v>-1676.388609872778</v>
      </c>
      <c r="BY222" s="10">
        <f t="shared" si="272"/>
        <v>-649.8315368513599</v>
      </c>
      <c r="CA222" s="10">
        <f>CA$5+SUM(CB$5:CB221)+SUM(R$5:R221)-SUM(S$5:S221)-SUM(CC$5:CC221)</f>
        <v>266370.0657181459</v>
      </c>
      <c r="CB222" s="10">
        <f t="shared" si="265"/>
        <v>565.1426524256794</v>
      </c>
      <c r="CC222" s="10">
        <f t="shared" si="266"/>
        <v>2326.220146724138</v>
      </c>
      <c r="CD222" s="10">
        <f t="shared" si="267"/>
        <v>1761.0774942984585</v>
      </c>
      <c r="CF222" s="44">
        <f t="shared" si="263"/>
        <v>0.3493</v>
      </c>
      <c r="CG222" s="10">
        <f t="shared" si="268"/>
        <v>-812.55</v>
      </c>
      <c r="CH222" s="4">
        <f t="shared" si="273"/>
        <v>0</v>
      </c>
    </row>
    <row r="223" spans="1:86" ht="15.75">
      <c r="A223" s="36"/>
      <c r="B223" s="37">
        <v>43891</v>
      </c>
      <c r="C223" s="77">
        <f t="shared" si="257"/>
        <v>4.1892</v>
      </c>
      <c r="D223" s="79">
        <f>C223*(1+Podsumowanie!E$11)</f>
        <v>4.314876</v>
      </c>
      <c r="E223" s="34">
        <f t="shared" si="344"/>
        <v>-562.2830657441853</v>
      </c>
      <c r="F223" s="7">
        <f t="shared" si="345"/>
        <v>-2426.181705586007</v>
      </c>
      <c r="G223" s="7">
        <f t="shared" si="346"/>
        <v>-1240.1636578424548</v>
      </c>
      <c r="H223" s="7">
        <f t="shared" si="347"/>
        <v>1186.0180477435522</v>
      </c>
      <c r="I223" s="32"/>
      <c r="K223" s="4">
        <f>IF(B223&lt;Podsumowanie!E$7,0,K222+1)</f>
        <v>153</v>
      </c>
      <c r="L223" s="100">
        <f t="shared" si="258"/>
        <v>-0.0076</v>
      </c>
      <c r="M223" s="38">
        <f>L223+Podsumowanie!E$6</f>
        <v>0.0044</v>
      </c>
      <c r="N223" s="101">
        <f>MAX(Podsumowanie!E$4+SUM(AA$5:AA222)-SUM(X$5:X223)+SUM(W$5:W223),0)</f>
        <v>113107.19706435606</v>
      </c>
      <c r="O223" s="102">
        <f>MAX(Podsumowanie!E$2+SUM(V$5:V222)-SUM(S$5:S223)+SUM(R$5:R223),0)</f>
        <v>249467.65034438483</v>
      </c>
      <c r="P223" s="39">
        <f t="shared" si="189"/>
        <v>360</v>
      </c>
      <c r="Q223" s="40" t="str">
        <f>IF(AND(K223&gt;0,K223&lt;=Podsumowanie!E$9),"tak","nie")</f>
        <v>nie</v>
      </c>
      <c r="R223" s="41"/>
      <c r="S223" s="42"/>
      <c r="T223" s="88">
        <f t="shared" si="348"/>
        <v>-91.4714717929411</v>
      </c>
      <c r="U223" s="89">
        <f>IF(Q223="tak",T223,IF(P223-SUM(AB$5:AB223)+1&gt;0,IF(Podsumowanie!E$7&lt;B223,IF(SUM(AB$5:AB223)-Podsumowanie!E$9+1&gt;0,PMT(M223/12,P223+1-SUM(AB$5:AB223),O223),T223),0),0))</f>
        <v>-1240.1636578424548</v>
      </c>
      <c r="V223" s="89">
        <f t="shared" si="349"/>
        <v>-1148.6921860495136</v>
      </c>
      <c r="W223" s="90" t="str">
        <f>IF(R223&gt;0,R223/(C223*(1-Podsumowanie!E$11))," ")</f>
        <v xml:space="preserve"> </v>
      </c>
      <c r="X223" s="90" t="str">
        <f t="shared" si="350"/>
        <v xml:space="preserve"> </v>
      </c>
      <c r="Y223" s="91">
        <f t="shared" si="351"/>
        <v>-41.47263892359722</v>
      </c>
      <c r="Z223" s="90">
        <f>IF(P223-SUM(AB$5:AB223)+1&gt;0,IF(Podsumowanie!E$7&lt;B223,IF(SUM(AB$5:AB223)-Podsumowanie!E$9+1&gt;0,PMT(M223/12,P223+1-SUM(AB$5:AB223),N223),Y223),0),0)</f>
        <v>-562.2830657441853</v>
      </c>
      <c r="AA223" s="90">
        <f t="shared" si="352"/>
        <v>-520.8104268205881</v>
      </c>
      <c r="AB223" s="8">
        <f>IF(AND(Podsumowanie!E$7&lt;B223,SUM(AB$5:AB222)&lt;P222),1," ")</f>
        <v>1</v>
      </c>
      <c r="AD223" s="10">
        <f>Podsumowanie!E$4-SUM(AF$5:AF222)+SUM(W$42:W223)-SUM(X$42:X223)</f>
        <v>105076.39813555236</v>
      </c>
      <c r="AE223" s="10">
        <f t="shared" si="353"/>
        <v>38.53</v>
      </c>
      <c r="AF223" s="10">
        <f t="shared" si="354"/>
        <v>505.17</v>
      </c>
      <c r="AG223" s="10">
        <f t="shared" si="355"/>
        <v>543.7</v>
      </c>
      <c r="AH223" s="10">
        <f t="shared" si="356"/>
        <v>2346</v>
      </c>
      <c r="AI223" s="10">
        <f>Podsumowanie!E$2-SUM(AK$5:AK222)+SUM(R$42:R223)-SUM(S$42:S223)</f>
        <v>231754.63999999978</v>
      </c>
      <c r="AJ223" s="10">
        <f t="shared" si="357"/>
        <v>84.98</v>
      </c>
      <c r="AK223" s="10">
        <f t="shared" si="358"/>
        <v>1114.21</v>
      </c>
      <c r="AL223" s="10">
        <f t="shared" si="359"/>
        <v>1199.19</v>
      </c>
      <c r="AM223" s="10">
        <f t="shared" si="360"/>
        <v>1146.81</v>
      </c>
      <c r="AO223" s="43">
        <f t="shared" si="361"/>
        <v>43891</v>
      </c>
      <c r="AP223" s="11">
        <f>AP$5+SUM(AS$5:AS222)-SUM(X$5:X223)+SUM(W$5:W223)</f>
        <v>109713.9811524254</v>
      </c>
      <c r="AQ223" s="10">
        <f t="shared" si="362"/>
        <v>-40.22845975588932</v>
      </c>
      <c r="AR223" s="10">
        <f>IF(AB223=1,IF(Q223="tak",AQ223,PMT(M223/12,P223+1-SUM(AB$5:AB223),AP223)),0)</f>
        <v>-545.4145737718599</v>
      </c>
      <c r="AS223" s="10">
        <f t="shared" si="363"/>
        <v>-505.18611401597053</v>
      </c>
      <c r="AT223" s="10">
        <f t="shared" si="184"/>
        <v>-2284.850732445075</v>
      </c>
      <c r="AV223" s="11">
        <f>AV$5+SUM(AX$5:AX222)+SUM(W$5:W222)-SUM(X$5:X222)</f>
        <v>101923.94719148574</v>
      </c>
      <c r="AW223" s="11">
        <f t="shared" si="364"/>
        <v>-40.22845975588932</v>
      </c>
      <c r="AX223" s="11">
        <f t="shared" si="365"/>
        <v>-490.02</v>
      </c>
      <c r="AY223" s="11">
        <f t="shared" si="366"/>
        <v>-530.2484597558893</v>
      </c>
      <c r="AZ223" s="11">
        <f t="shared" si="367"/>
        <v>-2221.316847609371</v>
      </c>
      <c r="BB223" s="191">
        <f t="shared" si="259"/>
        <v>0.0145</v>
      </c>
      <c r="BC223" s="44">
        <f>BB223+Podsumowanie!$E$6</f>
        <v>0.026500000000000003</v>
      </c>
      <c r="BD223" s="11">
        <f>BD$5+SUM(BE$5:BE222)+SUM(R$5:R222)-SUM(S$5:S222)</f>
        <v>289736.28886072995</v>
      </c>
      <c r="BE223" s="10">
        <f t="shared" si="368"/>
        <v>-1092.4064277194648</v>
      </c>
      <c r="BF223" s="10">
        <f t="shared" si="369"/>
        <v>-639.8343045674454</v>
      </c>
      <c r="BG223" s="10">
        <f>IF(U223&lt;0,PMT(BC223/12,Podsumowanie!E$8-SUM(AB$5:AB223)+1,BD223),0)</f>
        <v>-1732.24073228691</v>
      </c>
      <c r="BI223" s="11">
        <f>BI$5+SUM(BK$5:BK222)+SUM(R$5:R222)-SUM(S$5:S222)</f>
        <v>231754.8746518107</v>
      </c>
      <c r="BJ223" s="11">
        <f t="shared" si="213"/>
        <v>-511.792014856082</v>
      </c>
      <c r="BK223" s="11">
        <f t="shared" si="214"/>
        <v>-1114.2061281337053</v>
      </c>
      <c r="BL223" s="11">
        <f t="shared" si="188"/>
        <v>-1625.9981429897873</v>
      </c>
      <c r="BN223" s="44">
        <f t="shared" si="260"/>
        <v>0.0266</v>
      </c>
      <c r="BO223" s="11">
        <f>BO$5+SUM(BP$5:BP222)+SUM(R$5:R222)-SUM(S$5:S222)+SUM(BS$5:BS222)</f>
        <v>294786.1615965634</v>
      </c>
      <c r="BP223" s="10">
        <f t="shared" si="269"/>
        <v>-1110.4114746919126</v>
      </c>
      <c r="BQ223" s="10">
        <f t="shared" si="270"/>
        <v>-653.4426582057155</v>
      </c>
      <c r="BR223" s="10">
        <f>IF(U223&lt;0,PMT(BN223/12,Podsumowanie!E$8-SUM(AB$5:AB223)+1,BO223),0)</f>
        <v>-1763.854132897628</v>
      </c>
      <c r="BS223" s="10">
        <f t="shared" si="264"/>
        <v>-662.327572688379</v>
      </c>
      <c r="BU223" s="11">
        <f>BU$5+SUM(BW$5:BW222)+SUM(R$5:R222)-SUM(S$5:S222)+SUM(BY$5,BY222)</f>
        <v>231094.8874979539</v>
      </c>
      <c r="BV223" s="10">
        <f t="shared" si="261"/>
        <v>-512.2603339537978</v>
      </c>
      <c r="BW223" s="10">
        <f t="shared" si="262"/>
        <v>-1111.0331129709323</v>
      </c>
      <c r="BX223" s="10">
        <f t="shared" si="271"/>
        <v>-1623.2934469247302</v>
      </c>
      <c r="BY223" s="10">
        <f t="shared" si="272"/>
        <v>-802.8882586612767</v>
      </c>
      <c r="CA223" s="10">
        <f>CA$5+SUM(CB$5:CB222)+SUM(R$5:R222)-SUM(S$5:S222)-SUM(CC$5:CC222)</f>
        <v>264608.98822384747</v>
      </c>
      <c r="CB223" s="10">
        <f t="shared" si="265"/>
        <v>512.2603339537978</v>
      </c>
      <c r="CC223" s="10">
        <f t="shared" si="266"/>
        <v>2426.181705586007</v>
      </c>
      <c r="CD223" s="10">
        <f t="shared" si="267"/>
        <v>1913.9213716322092</v>
      </c>
      <c r="CF223" s="44">
        <f t="shared" si="263"/>
        <v>0.3466</v>
      </c>
      <c r="CG223" s="10">
        <f t="shared" si="268"/>
        <v>-840.91</v>
      </c>
      <c r="CH223" s="4">
        <f t="shared" si="273"/>
        <v>0</v>
      </c>
    </row>
    <row r="224" spans="1:86" ht="15.75">
      <c r="A224" s="36"/>
      <c r="B224" s="37">
        <v>43922</v>
      </c>
      <c r="C224" s="77">
        <f t="shared" si="257"/>
        <v>4.3107</v>
      </c>
      <c r="D224" s="79">
        <f>C224*(1+Podsumowanie!E$11)</f>
        <v>4.440021</v>
      </c>
      <c r="E224" s="34">
        <f t="shared" si="344"/>
        <v>-567.1294526854326</v>
      </c>
      <c r="F224" s="7">
        <f t="shared" si="345"/>
        <v>-2518.0666796418272</v>
      </c>
      <c r="G224" s="7">
        <f t="shared" si="346"/>
        <v>-1250.8527810306525</v>
      </c>
      <c r="H224" s="7">
        <f t="shared" si="347"/>
        <v>1267.2138986111747</v>
      </c>
      <c r="I224" s="32"/>
      <c r="K224" s="4">
        <f>IF(B224&lt;Podsumowanie!E$7,0,K223+1)</f>
        <v>154</v>
      </c>
      <c r="L224" s="100">
        <f t="shared" si="258"/>
        <v>-0.0066</v>
      </c>
      <c r="M224" s="38">
        <f>L224+Podsumowanie!E$6</f>
        <v>0.0054</v>
      </c>
      <c r="N224" s="101">
        <f>MAX(Podsumowanie!E$4+SUM(AA$5:AA223)-SUM(X$5:X224)+SUM(W$5:W224),0)</f>
        <v>112586.38663753547</v>
      </c>
      <c r="O224" s="102">
        <f>MAX(Podsumowanie!E$2+SUM(V$5:V223)-SUM(S$5:S224)+SUM(R$5:R224),0)</f>
        <v>248318.95815833533</v>
      </c>
      <c r="P224" s="39">
        <f t="shared" si="189"/>
        <v>360</v>
      </c>
      <c r="Q224" s="40" t="str">
        <f>IF(AND(K224&gt;0,K224&lt;=Podsumowanie!E$9),"tak","nie")</f>
        <v>nie</v>
      </c>
      <c r="R224" s="41"/>
      <c r="S224" s="42"/>
      <c r="T224" s="88">
        <f t="shared" si="348"/>
        <v>-111.7435311712509</v>
      </c>
      <c r="U224" s="89">
        <f>IF(Q224="tak",T224,IF(P224-SUM(AB$5:AB224)+1&gt;0,IF(Podsumowanie!E$7&lt;B224,IF(SUM(AB$5:AB224)-Podsumowanie!E$9+1&gt;0,PMT(M224/12,P224+1-SUM(AB$5:AB224),O224),T224),0),0))</f>
        <v>-1250.8527810306525</v>
      </c>
      <c r="V224" s="89">
        <f t="shared" si="349"/>
        <v>-1139.1092498594016</v>
      </c>
      <c r="W224" s="90" t="str">
        <f>IF(R224&gt;0,R224/(C224*(1-Podsumowanie!E$11))," ")</f>
        <v xml:space="preserve"> </v>
      </c>
      <c r="X224" s="90" t="str">
        <f t="shared" si="350"/>
        <v xml:space="preserve"> </v>
      </c>
      <c r="Y224" s="91">
        <f t="shared" si="351"/>
        <v>-50.66387398689096</v>
      </c>
      <c r="Z224" s="90">
        <f>IF(P224-SUM(AB$5:AB224)+1&gt;0,IF(Podsumowanie!E$7&lt;B224,IF(SUM(AB$5:AB224)-Podsumowanie!E$9+1&gt;0,PMT(M224/12,P224+1-SUM(AB$5:AB224),N224),Y224),0),0)</f>
        <v>-567.1294526854326</v>
      </c>
      <c r="AA224" s="90">
        <f t="shared" si="352"/>
        <v>-516.4655786985417</v>
      </c>
      <c r="AB224" s="8">
        <f>IF(AND(Podsumowanie!E$7&lt;B224,SUM(AB$5:AB223)&lt;P223),1," ")</f>
        <v>1</v>
      </c>
      <c r="AD224" s="10">
        <f>Podsumowanie!E$4-SUM(AF$5:AF223)+SUM(W$42:W224)-SUM(X$42:X224)</f>
        <v>104571.22813555236</v>
      </c>
      <c r="AE224" s="10">
        <f t="shared" si="353"/>
        <v>47.06</v>
      </c>
      <c r="AF224" s="10">
        <f t="shared" si="354"/>
        <v>505.18</v>
      </c>
      <c r="AG224" s="10">
        <f t="shared" si="355"/>
        <v>552.24</v>
      </c>
      <c r="AH224" s="10">
        <f t="shared" si="356"/>
        <v>2451.96</v>
      </c>
      <c r="AI224" s="10">
        <f>Podsumowanie!E$2-SUM(AK$5:AK223)+SUM(R$42:R224)-SUM(S$42:S224)</f>
        <v>230640.4299999998</v>
      </c>
      <c r="AJ224" s="10">
        <f t="shared" si="357"/>
        <v>103.79</v>
      </c>
      <c r="AK224" s="10">
        <f t="shared" si="358"/>
        <v>1114.2</v>
      </c>
      <c r="AL224" s="10">
        <f t="shared" si="359"/>
        <v>1217.99</v>
      </c>
      <c r="AM224" s="10">
        <f t="shared" si="360"/>
        <v>1233.97</v>
      </c>
      <c r="AO224" s="43">
        <f t="shared" si="361"/>
        <v>43922</v>
      </c>
      <c r="AP224" s="11">
        <f>AP$5+SUM(AS$5:AS223)-SUM(X$5:X224)+SUM(W$5:W224)</f>
        <v>109208.79503840943</v>
      </c>
      <c r="AQ224" s="10">
        <f t="shared" si="362"/>
        <v>-49.14395776728424</v>
      </c>
      <c r="AR224" s="10">
        <f>IF(AB224=1,IF(Q224="tak",AQ224,PMT(M224/12,P224+1-SUM(AB$5:AB224),AP224)),0)</f>
        <v>-550.1155691048697</v>
      </c>
      <c r="AS224" s="10">
        <f t="shared" si="363"/>
        <v>-500.97161133758544</v>
      </c>
      <c r="AT224" s="10">
        <f t="shared" si="184"/>
        <v>-2371.383183740362</v>
      </c>
      <c r="AV224" s="11">
        <f>AV$5+SUM(AX$5:AX223)+SUM(W$5:W223)-SUM(X$5:X223)</f>
        <v>101433.92719148574</v>
      </c>
      <c r="AW224" s="11">
        <f t="shared" si="364"/>
        <v>-49.14395776728424</v>
      </c>
      <c r="AX224" s="11">
        <f t="shared" si="365"/>
        <v>-490.02</v>
      </c>
      <c r="AY224" s="11">
        <f t="shared" si="366"/>
        <v>-539.1639577672843</v>
      </c>
      <c r="AZ224" s="11">
        <f t="shared" si="367"/>
        <v>-2324.174072747432</v>
      </c>
      <c r="BB224" s="191">
        <f t="shared" si="259"/>
        <v>0.0083</v>
      </c>
      <c r="BC224" s="44">
        <f>BB224+Podsumowanie!$E$6</f>
        <v>0.0203</v>
      </c>
      <c r="BD224" s="11">
        <f>BD$5+SUM(BE$5:BE223)+SUM(R$5:R223)-SUM(S$5:S223)</f>
        <v>288643.8824330105</v>
      </c>
      <c r="BE224" s="10">
        <f t="shared" si="368"/>
        <v>-1159.0160428411327</v>
      </c>
      <c r="BF224" s="10">
        <f t="shared" si="369"/>
        <v>-488.2892344491761</v>
      </c>
      <c r="BG224" s="10">
        <f>IF(U224&lt;0,PMT(BC224/12,Podsumowanie!E$8-SUM(AB$5:AB224)+1,BD224),0)</f>
        <v>-1647.3052772903088</v>
      </c>
      <c r="BI224" s="11">
        <f>BI$5+SUM(BK$5:BK223)+SUM(R$5:R223)-SUM(S$5:S223)</f>
        <v>230640.668523677</v>
      </c>
      <c r="BJ224" s="11">
        <f t="shared" si="213"/>
        <v>-390.16713091922026</v>
      </c>
      <c r="BK224" s="11">
        <f t="shared" si="214"/>
        <v>-1114.2061281337053</v>
      </c>
      <c r="BL224" s="11">
        <f t="shared" si="188"/>
        <v>-1504.3732590529255</v>
      </c>
      <c r="BN224" s="44">
        <f t="shared" si="260"/>
        <v>0.0204</v>
      </c>
      <c r="BO224" s="11">
        <f>BO$5+SUM(BP$5:BP223)+SUM(R$5:R223)-SUM(S$5:S223)+SUM(BS$5:BS223)</f>
        <v>293013.42254918313</v>
      </c>
      <c r="BP224" s="10">
        <f t="shared" si="269"/>
        <v>-1175.4891779319844</v>
      </c>
      <c r="BQ224" s="10">
        <f t="shared" si="270"/>
        <v>-498.12281833361135</v>
      </c>
      <c r="BR224" s="10">
        <f>IF(U224&lt;0,PMT(BN224/12,Podsumowanie!E$8-SUM(AB$5:AB224)+1,BO224),0)</f>
        <v>-1673.6119962655957</v>
      </c>
      <c r="BS224" s="10">
        <f t="shared" si="264"/>
        <v>-844.4546833762315</v>
      </c>
      <c r="BU224" s="11">
        <f>BU$5+SUM(BW$5:BW223)+SUM(R$5:R223)-SUM(S$5:S223)+SUM(BY$5,BY223)</f>
        <v>229830.79766317303</v>
      </c>
      <c r="BV224" s="10">
        <f t="shared" si="261"/>
        <v>-390.7123560273942</v>
      </c>
      <c r="BW224" s="10">
        <f t="shared" si="262"/>
        <v>-1110.293708517744</v>
      </c>
      <c r="BX224" s="10">
        <f t="shared" si="271"/>
        <v>-1501.0060645451383</v>
      </c>
      <c r="BY224" s="10">
        <f t="shared" si="272"/>
        <v>-1017.0606150966889</v>
      </c>
      <c r="CA224" s="10">
        <f>CA$5+SUM(CB$5:CB223)+SUM(R$5:R223)-SUM(S$5:S223)-SUM(CC$5:CC223)</f>
        <v>262695.0668522152</v>
      </c>
      <c r="CB224" s="10">
        <f t="shared" si="265"/>
        <v>390.7123560273942</v>
      </c>
      <c r="CC224" s="10">
        <f t="shared" si="266"/>
        <v>2518.0666796418272</v>
      </c>
      <c r="CD224" s="10">
        <f t="shared" si="267"/>
        <v>2127.3543236144333</v>
      </c>
      <c r="CF224" s="44">
        <f t="shared" si="263"/>
        <v>0.348</v>
      </c>
      <c r="CG224" s="10">
        <f t="shared" si="268"/>
        <v>-876.29</v>
      </c>
      <c r="CH224" s="4">
        <f t="shared" si="273"/>
        <v>0</v>
      </c>
    </row>
    <row r="225" spans="1:86" ht="15.75">
      <c r="A225" s="36"/>
      <c r="B225" s="37">
        <v>43952</v>
      </c>
      <c r="C225" s="77">
        <f t="shared" si="257"/>
        <v>4.2838</v>
      </c>
      <c r="D225" s="79">
        <f>C225*(1+Podsumowanie!E$11)</f>
        <v>4.412314</v>
      </c>
      <c r="E225" s="34">
        <f t="shared" si="344"/>
        <v>-567.1294526854326</v>
      </c>
      <c r="F225" s="7">
        <f t="shared" si="345"/>
        <v>-2502.353223896272</v>
      </c>
      <c r="G225" s="7">
        <f t="shared" si="346"/>
        <v>-1250.8527810306525</v>
      </c>
      <c r="H225" s="7">
        <f t="shared" si="347"/>
        <v>1251.5004428656196</v>
      </c>
      <c r="I225" s="32"/>
      <c r="K225" s="4">
        <f>IF(B225&lt;Podsumowanie!E$7,0,K224+1)</f>
        <v>155</v>
      </c>
      <c r="L225" s="100">
        <f t="shared" si="258"/>
        <v>-0.0066</v>
      </c>
      <c r="M225" s="38">
        <f>L225+Podsumowanie!E$6</f>
        <v>0.0054</v>
      </c>
      <c r="N225" s="101">
        <f>MAX(Podsumowanie!E$4+SUM(AA$5:AA224)-SUM(X$5:X225)+SUM(W$5:W225),0)</f>
        <v>112069.92105883693</v>
      </c>
      <c r="O225" s="102">
        <f>MAX(Podsumowanie!E$2+SUM(V$5:V224)-SUM(S$5:S225)+SUM(R$5:R225),0)</f>
        <v>247179.84890847592</v>
      </c>
      <c r="P225" s="39">
        <f t="shared" si="189"/>
        <v>360</v>
      </c>
      <c r="Q225" s="40" t="str">
        <f>IF(AND(K225&gt;0,K225&lt;=Podsumowanie!E$9),"tak","nie")</f>
        <v>nie</v>
      </c>
      <c r="R225" s="41"/>
      <c r="S225" s="42"/>
      <c r="T225" s="88">
        <f t="shared" si="348"/>
        <v>-111.23093200881418</v>
      </c>
      <c r="U225" s="89">
        <f>IF(Q225="tak",T225,IF(P225-SUM(AB$5:AB225)+1&gt;0,IF(Podsumowanie!E$7&lt;B225,IF(SUM(AB$5:AB225)-Podsumowanie!E$9+1&gt;0,PMT(M225/12,P225+1-SUM(AB$5:AB225),O225),T225),0),0))</f>
        <v>-1250.8527810306525</v>
      </c>
      <c r="V225" s="89">
        <f t="shared" si="349"/>
        <v>-1139.6218490218384</v>
      </c>
      <c r="W225" s="90" t="str">
        <f>IF(R225&gt;0,R225/(C225*(1-Podsumowanie!E$11))," ")</f>
        <v xml:space="preserve"> </v>
      </c>
      <c r="X225" s="90" t="str">
        <f t="shared" si="350"/>
        <v xml:space="preserve"> </v>
      </c>
      <c r="Y225" s="91">
        <f t="shared" si="351"/>
        <v>-50.43146447647663</v>
      </c>
      <c r="Z225" s="90">
        <f>IF(P225-SUM(AB$5:AB225)+1&gt;0,IF(Podsumowanie!E$7&lt;B225,IF(SUM(AB$5:AB225)-Podsumowanie!E$9+1&gt;0,PMT(M225/12,P225+1-SUM(AB$5:AB225),N225),Y225),0),0)</f>
        <v>-567.1294526854326</v>
      </c>
      <c r="AA225" s="90">
        <f t="shared" si="352"/>
        <v>-516.697988208956</v>
      </c>
      <c r="AB225" s="8">
        <f>IF(AND(Podsumowanie!E$7&lt;B225,SUM(AB$5:AB224)&lt;P224),1," ")</f>
        <v>1</v>
      </c>
      <c r="AD225" s="10">
        <f>Podsumowanie!E$4-SUM(AF$5:AF224)+SUM(W$42:W225)-SUM(X$42:X225)</f>
        <v>104066.04813555237</v>
      </c>
      <c r="AE225" s="10">
        <f t="shared" si="353"/>
        <v>46.83</v>
      </c>
      <c r="AF225" s="10">
        <f t="shared" si="354"/>
        <v>505.17</v>
      </c>
      <c r="AG225" s="10">
        <f t="shared" si="355"/>
        <v>552</v>
      </c>
      <c r="AH225" s="10">
        <f t="shared" si="356"/>
        <v>2435.6</v>
      </c>
      <c r="AI225" s="10">
        <f>Podsumowanie!E$2-SUM(AK$5:AK224)+SUM(R$42:R225)-SUM(S$42:S225)</f>
        <v>229526.22999999978</v>
      </c>
      <c r="AJ225" s="10">
        <f t="shared" si="357"/>
        <v>103.29</v>
      </c>
      <c r="AK225" s="10">
        <f t="shared" si="358"/>
        <v>1114.21</v>
      </c>
      <c r="AL225" s="10">
        <f t="shared" si="359"/>
        <v>1217.5</v>
      </c>
      <c r="AM225" s="10">
        <f t="shared" si="360"/>
        <v>1218.1</v>
      </c>
      <c r="AO225" s="43">
        <f t="shared" si="361"/>
        <v>43952</v>
      </c>
      <c r="AP225" s="11">
        <f>AP$5+SUM(AS$5:AS224)-SUM(X$5:X225)+SUM(W$5:W225)</f>
        <v>108707.82342707184</v>
      </c>
      <c r="AQ225" s="10">
        <f t="shared" si="362"/>
        <v>-48.91852054218233</v>
      </c>
      <c r="AR225" s="10">
        <f>IF(AB225=1,IF(Q225="tak",AQ225,PMT(M225/12,P225+1-SUM(AB$5:AB225),AP225)),0)</f>
        <v>-550.1155691048697</v>
      </c>
      <c r="AS225" s="10">
        <f t="shared" si="363"/>
        <v>-501.19704856268737</v>
      </c>
      <c r="AT225" s="10">
        <f t="shared" si="184"/>
        <v>-2356.585074931441</v>
      </c>
      <c r="AV225" s="11">
        <f>AV$5+SUM(AX$5:AX224)+SUM(W$5:W224)-SUM(X$5:X224)</f>
        <v>100943.90719148573</v>
      </c>
      <c r="AW225" s="11">
        <f t="shared" si="364"/>
        <v>-48.91852054218233</v>
      </c>
      <c r="AX225" s="11">
        <f t="shared" si="365"/>
        <v>-490.02</v>
      </c>
      <c r="AY225" s="11">
        <f t="shared" si="366"/>
        <v>-538.9385205421823</v>
      </c>
      <c r="AZ225" s="11">
        <f t="shared" si="367"/>
        <v>-2308.704834298601</v>
      </c>
      <c r="BB225" s="191">
        <f t="shared" si="259"/>
        <v>0.0066</v>
      </c>
      <c r="BC225" s="44">
        <f>BB225+Podsumowanie!$E$6</f>
        <v>0.0186</v>
      </c>
      <c r="BD225" s="11">
        <f>BD$5+SUM(BE$5:BE224)+SUM(R$5:R224)-SUM(S$5:S224)</f>
        <v>287484.86639016937</v>
      </c>
      <c r="BE225" s="10">
        <f t="shared" si="368"/>
        <v>-1178.9757651942125</v>
      </c>
      <c r="BF225" s="10">
        <f t="shared" si="369"/>
        <v>-445.6015429047625</v>
      </c>
      <c r="BG225" s="10">
        <f>IF(U225&lt;0,PMT(BC225/12,Podsumowanie!E$8-SUM(AB$5:AB225)+1,BD225),0)</f>
        <v>-1624.577308098975</v>
      </c>
      <c r="BI225" s="11">
        <f>BI$5+SUM(BK$5:BK224)+SUM(R$5:R224)-SUM(S$5:S224)</f>
        <v>229526.46239554332</v>
      </c>
      <c r="BJ225" s="11">
        <f t="shared" si="213"/>
        <v>-355.7660167130921</v>
      </c>
      <c r="BK225" s="11">
        <f t="shared" si="214"/>
        <v>-1114.2061281337055</v>
      </c>
      <c r="BL225" s="11">
        <f t="shared" si="188"/>
        <v>-1469.9721448467976</v>
      </c>
      <c r="BN225" s="44">
        <f t="shared" si="260"/>
        <v>0.0187</v>
      </c>
      <c r="BO225" s="11">
        <f>BO$5+SUM(BP$5:BP224)+SUM(R$5:R224)-SUM(S$5:S224)+SUM(BS$5:BS224)</f>
        <v>290993.4786878749</v>
      </c>
      <c r="BP225" s="10">
        <f t="shared" si="269"/>
        <v>-1192.2873953085964</v>
      </c>
      <c r="BQ225" s="10">
        <f t="shared" si="270"/>
        <v>-453.46483762193844</v>
      </c>
      <c r="BR225" s="10">
        <f>IF(U225&lt;0,PMT(BN225/12,Podsumowanie!E$8-SUM(AB$5:AB225)+1,BO225),0)</f>
        <v>-1645.7522329305348</v>
      </c>
      <c r="BS225" s="10">
        <f t="shared" si="264"/>
        <v>-856.6009909657373</v>
      </c>
      <c r="BU225" s="11">
        <f>BU$5+SUM(BW$5:BW224)+SUM(R$5:R224)-SUM(S$5:S224)+SUM(BY$5,BY224)</f>
        <v>228506.3315982199</v>
      </c>
      <c r="BV225" s="10">
        <f t="shared" si="261"/>
        <v>-356.089033407226</v>
      </c>
      <c r="BW225" s="10">
        <f t="shared" si="262"/>
        <v>-1109.2540368845625</v>
      </c>
      <c r="BX225" s="10">
        <f t="shared" si="271"/>
        <v>-1465.3430702917885</v>
      </c>
      <c r="BY225" s="10">
        <f t="shared" si="272"/>
        <v>-1037.0101536044835</v>
      </c>
      <c r="CA225" s="10">
        <f>CA$5+SUM(CB$5:CB224)+SUM(R$5:R224)-SUM(S$5:S224)-SUM(CC$5:CC224)</f>
        <v>260567.71252860082</v>
      </c>
      <c r="CB225" s="10">
        <f t="shared" si="265"/>
        <v>356.089033407226</v>
      </c>
      <c r="CC225" s="10">
        <f t="shared" si="266"/>
        <v>2502.353223896272</v>
      </c>
      <c r="CD225" s="10">
        <f t="shared" si="267"/>
        <v>2146.264190489046</v>
      </c>
      <c r="CF225" s="44">
        <f t="shared" si="263"/>
        <v>0.3507</v>
      </c>
      <c r="CG225" s="10">
        <f t="shared" si="268"/>
        <v>-877.58</v>
      </c>
      <c r="CH225" s="4">
        <f t="shared" si="273"/>
        <v>0</v>
      </c>
    </row>
    <row r="226" spans="1:86" ht="15.75">
      <c r="A226" s="36"/>
      <c r="B226" s="37">
        <v>43983</v>
      </c>
      <c r="C226" s="77">
        <f t="shared" si="257"/>
        <v>4.1474</v>
      </c>
      <c r="D226" s="79">
        <f>C226*(1+Podsumowanie!E$11)</f>
        <v>4.271822</v>
      </c>
      <c r="E226" s="34">
        <f t="shared" si="344"/>
        <v>-567.1294526854325</v>
      </c>
      <c r="F226" s="7">
        <f t="shared" si="345"/>
        <v>-2422.67607282959</v>
      </c>
      <c r="G226" s="7">
        <f t="shared" si="346"/>
        <v>-1250.8527810306523</v>
      </c>
      <c r="H226" s="7">
        <f t="shared" si="347"/>
        <v>1171.8232917989376</v>
      </c>
      <c r="I226" s="32"/>
      <c r="K226" s="4">
        <f>IF(B226&lt;Podsumowanie!E$7,0,K225+1)</f>
        <v>156</v>
      </c>
      <c r="L226" s="100">
        <f t="shared" si="258"/>
        <v>-0.0066</v>
      </c>
      <c r="M226" s="38">
        <f>L226+Podsumowanie!E$6</f>
        <v>0.0054</v>
      </c>
      <c r="N226" s="101">
        <f>MAX(Podsumowanie!E$4+SUM(AA$5:AA225)-SUM(X$5:X226)+SUM(W$5:W226),0)</f>
        <v>111553.22307062798</v>
      </c>
      <c r="O226" s="102">
        <f>MAX(Podsumowanie!E$2+SUM(V$5:V225)-SUM(S$5:S226)+SUM(R$5:R226),0)</f>
        <v>246040.22705945408</v>
      </c>
      <c r="P226" s="39">
        <f t="shared" si="189"/>
        <v>360</v>
      </c>
      <c r="Q226" s="40" t="str">
        <f>IF(AND(K226&gt;0,K226&lt;=Podsumowanie!E$9),"tak","nie")</f>
        <v>nie</v>
      </c>
      <c r="R226" s="41"/>
      <c r="S226" s="42"/>
      <c r="T226" s="88">
        <f t="shared" si="348"/>
        <v>-110.71810217675433</v>
      </c>
      <c r="U226" s="89">
        <f>IF(Q226="tak",T226,IF(P226-SUM(AB$5:AB226)+1&gt;0,IF(Podsumowanie!E$7&lt;B226,IF(SUM(AB$5:AB226)-Podsumowanie!E$9+1&gt;0,PMT(M226/12,P226+1-SUM(AB$5:AB226),O226),T226),0),0))</f>
        <v>-1250.8527810306523</v>
      </c>
      <c r="V226" s="89">
        <f t="shared" si="349"/>
        <v>-1140.1346788538979</v>
      </c>
      <c r="W226" s="90" t="str">
        <f>IF(R226&gt;0,R226/(C226*(1-Podsumowanie!E$11))," ")</f>
        <v xml:space="preserve"> </v>
      </c>
      <c r="X226" s="90" t="str">
        <f t="shared" si="350"/>
        <v xml:space="preserve"> </v>
      </c>
      <c r="Y226" s="91">
        <f t="shared" si="351"/>
        <v>-50.198950381782595</v>
      </c>
      <c r="Z226" s="90">
        <f>IF(P226-SUM(AB$5:AB226)+1&gt;0,IF(Podsumowanie!E$7&lt;B226,IF(SUM(AB$5:AB226)-Podsumowanie!E$9+1&gt;0,PMT(M226/12,P226+1-SUM(AB$5:AB226),N226),Y226),0),0)</f>
        <v>-567.1294526854325</v>
      </c>
      <c r="AA226" s="90">
        <f t="shared" si="352"/>
        <v>-516.93050230365</v>
      </c>
      <c r="AB226" s="8">
        <f>IF(AND(Podsumowanie!E$7&lt;B226,SUM(AB$5:AB225)&lt;P225),1," ")</f>
        <v>1</v>
      </c>
      <c r="AD226" s="10">
        <f>Podsumowanie!E$4-SUM(AF$5:AF225)+SUM(W$42:W226)-SUM(X$42:X226)</f>
        <v>103560.87813555237</v>
      </c>
      <c r="AE226" s="10">
        <f t="shared" si="353"/>
        <v>46.6</v>
      </c>
      <c r="AF226" s="10">
        <f t="shared" si="354"/>
        <v>505.18</v>
      </c>
      <c r="AG226" s="10">
        <f t="shared" si="355"/>
        <v>551.78</v>
      </c>
      <c r="AH226" s="10">
        <f t="shared" si="356"/>
        <v>2357.11</v>
      </c>
      <c r="AI226" s="10">
        <f>Podsumowanie!E$2-SUM(AK$5:AK225)+SUM(R$42:R226)-SUM(S$42:S226)</f>
        <v>228412.0199999998</v>
      </c>
      <c r="AJ226" s="10">
        <f t="shared" si="357"/>
        <v>102.79</v>
      </c>
      <c r="AK226" s="10">
        <f t="shared" si="358"/>
        <v>1114.2</v>
      </c>
      <c r="AL226" s="10">
        <f t="shared" si="359"/>
        <v>1216.99</v>
      </c>
      <c r="AM226" s="10">
        <f t="shared" si="360"/>
        <v>1140.1200000000001</v>
      </c>
      <c r="AO226" s="43">
        <f t="shared" si="361"/>
        <v>43983</v>
      </c>
      <c r="AP226" s="11">
        <f>AP$5+SUM(AS$5:AS225)-SUM(X$5:X226)+SUM(W$5:W226)</f>
        <v>108206.62637850916</v>
      </c>
      <c r="AQ226" s="10">
        <f t="shared" si="362"/>
        <v>-48.69298187032913</v>
      </c>
      <c r="AR226" s="10">
        <f>IF(AB226=1,IF(Q226="tak",AQ226,PMT(M226/12,P226+1-SUM(AB$5:AB226),AP226)),0)</f>
        <v>-550.1155691048697</v>
      </c>
      <c r="AS226" s="10">
        <f t="shared" si="363"/>
        <v>-501.4225872345406</v>
      </c>
      <c r="AT226" s="10">
        <f t="shared" si="184"/>
        <v>-2281.549311305537</v>
      </c>
      <c r="AV226" s="11">
        <f>AV$5+SUM(AX$5:AX225)+SUM(W$5:W225)-SUM(X$5:X225)</f>
        <v>100453.88719148573</v>
      </c>
      <c r="AW226" s="11">
        <f t="shared" si="364"/>
        <v>-48.69298187032913</v>
      </c>
      <c r="AX226" s="11">
        <f t="shared" si="365"/>
        <v>-490.02</v>
      </c>
      <c r="AY226" s="11">
        <f t="shared" si="366"/>
        <v>-538.7129818703291</v>
      </c>
      <c r="AZ226" s="11">
        <f t="shared" si="367"/>
        <v>-2234.258221009003</v>
      </c>
      <c r="BB226" s="191">
        <f t="shared" si="259"/>
        <v>0.0027</v>
      </c>
      <c r="BC226" s="44">
        <f>BB226+Podsumowanie!$E$6</f>
        <v>0.014700000000000001</v>
      </c>
      <c r="BD226" s="11">
        <f>BD$5+SUM(BE$5:BE225)+SUM(R$5:R225)-SUM(S$5:S225)</f>
        <v>286305.89062497515</v>
      </c>
      <c r="BE226" s="10">
        <f t="shared" si="368"/>
        <v>-1222.6862954231074</v>
      </c>
      <c r="BF226" s="10">
        <f t="shared" si="369"/>
        <v>-350.7247160155946</v>
      </c>
      <c r="BG226" s="10">
        <f>IF(U226&lt;0,PMT(BC226/12,Podsumowanie!E$8-SUM(AB$5:AB226)+1,BD226),0)</f>
        <v>-1573.411011438702</v>
      </c>
      <c r="BI226" s="11">
        <f>BI$5+SUM(BK$5:BK225)+SUM(R$5:R225)-SUM(S$5:S225)</f>
        <v>228412.25626740963</v>
      </c>
      <c r="BJ226" s="11">
        <f t="shared" si="213"/>
        <v>-279.8050139275768</v>
      </c>
      <c r="BK226" s="11">
        <f t="shared" si="214"/>
        <v>-1114.2061281337055</v>
      </c>
      <c r="BL226" s="11">
        <f t="shared" si="188"/>
        <v>-1394.0111420612823</v>
      </c>
      <c r="BN226" s="44">
        <f t="shared" si="260"/>
        <v>0.0148</v>
      </c>
      <c r="BO226" s="11">
        <f>BO$5+SUM(BP$5:BP225)+SUM(R$5:R225)-SUM(S$5:S225)+SUM(BS$5:BS225)</f>
        <v>288944.5903016006</v>
      </c>
      <c r="BP226" s="10">
        <f t="shared" si="269"/>
        <v>-1232.8582309112726</v>
      </c>
      <c r="BQ226" s="10">
        <f t="shared" si="270"/>
        <v>-356.3649947053074</v>
      </c>
      <c r="BR226" s="10">
        <f>IF(U226&lt;0,PMT(BN226/12,Podsumowanie!E$8-SUM(AB$5:AB226)+1,BO226),0)</f>
        <v>-1589.22322561658</v>
      </c>
      <c r="BS226" s="10">
        <f t="shared" si="264"/>
        <v>-833.4528472130098</v>
      </c>
      <c r="BU226" s="11">
        <f>BU$5+SUM(BW$5:BW225)+SUM(R$5:R225)-SUM(S$5:S225)+SUM(BY$5,BY225)</f>
        <v>227377.12802282753</v>
      </c>
      <c r="BV226" s="10">
        <f t="shared" si="261"/>
        <v>-280.43179122815394</v>
      </c>
      <c r="BW226" s="10">
        <f t="shared" si="262"/>
        <v>-1109.1567220625734</v>
      </c>
      <c r="BX226" s="10">
        <f t="shared" si="271"/>
        <v>-1389.5885132907274</v>
      </c>
      <c r="BY226" s="10">
        <f t="shared" si="272"/>
        <v>-1033.0875595388625</v>
      </c>
      <c r="CA226" s="10">
        <f>CA$5+SUM(CB$5:CB225)+SUM(R$5:R225)-SUM(S$5:S225)-SUM(CC$5:CC225)</f>
        <v>258421.4483381117</v>
      </c>
      <c r="CB226" s="10">
        <f t="shared" si="265"/>
        <v>280.43179122815394</v>
      </c>
      <c r="CC226" s="10">
        <f t="shared" si="266"/>
        <v>2422.67607282959</v>
      </c>
      <c r="CD226" s="10">
        <f t="shared" si="267"/>
        <v>2142.244281601436</v>
      </c>
      <c r="CF226" s="44">
        <f t="shared" si="263"/>
        <v>0.3426</v>
      </c>
      <c r="CG226" s="10">
        <f t="shared" si="268"/>
        <v>-830.01</v>
      </c>
      <c r="CH226" s="4">
        <f t="shared" si="273"/>
        <v>0</v>
      </c>
    </row>
    <row r="227" spans="1:86" ht="15.75">
      <c r="A227" s="36"/>
      <c r="B227" s="37">
        <v>44013</v>
      </c>
      <c r="C227" s="77">
        <f t="shared" si="257"/>
        <v>4.1611</v>
      </c>
      <c r="D227" s="79">
        <f>C227*(1+Podsumowanie!E$11)</f>
        <v>4.285933</v>
      </c>
      <c r="E227" s="34">
        <f t="shared" si="344"/>
        <v>-567.1294526854326</v>
      </c>
      <c r="F227" s="7">
        <f t="shared" si="345"/>
        <v>-2430.678836536434</v>
      </c>
      <c r="G227" s="7">
        <f t="shared" si="346"/>
        <v>-1250.8527810306523</v>
      </c>
      <c r="H227" s="7">
        <f t="shared" si="347"/>
        <v>1179.8260555057818</v>
      </c>
      <c r="I227" s="32"/>
      <c r="K227" s="4">
        <f>IF(B227&lt;Podsumowanie!E$7,0,K226+1)</f>
        <v>157</v>
      </c>
      <c r="L227" s="100">
        <f t="shared" si="258"/>
        <v>-0.0066</v>
      </c>
      <c r="M227" s="38">
        <f>L227+Podsumowanie!E$6</f>
        <v>0.0054</v>
      </c>
      <c r="N227" s="101">
        <f>MAX(Podsumowanie!E$4+SUM(AA$5:AA226)-SUM(X$5:X227)+SUM(W$5:W227),0)</f>
        <v>111036.29256832434</v>
      </c>
      <c r="O227" s="102">
        <f>MAX(Podsumowanie!E$2+SUM(V$5:V226)-SUM(S$5:S227)+SUM(R$5:R227),0)</f>
        <v>244900.09238060017</v>
      </c>
      <c r="P227" s="39">
        <f t="shared" si="189"/>
        <v>360</v>
      </c>
      <c r="Q227" s="40" t="str">
        <f>IF(AND(K227&gt;0,K227&lt;=Podsumowanie!E$9),"tak","nie")</f>
        <v>nie</v>
      </c>
      <c r="R227" s="41"/>
      <c r="S227" s="42"/>
      <c r="T227" s="88">
        <f t="shared" si="348"/>
        <v>-110.20504157127009</v>
      </c>
      <c r="U227" s="89">
        <f>IF(Q227="tak",T227,IF(P227-SUM(AB$5:AB227)+1&gt;0,IF(Podsumowanie!E$7&lt;B227,IF(SUM(AB$5:AB227)-Podsumowanie!E$9+1&gt;0,PMT(M227/12,P227+1-SUM(AB$5:AB227),O227),T227),0),0))</f>
        <v>-1250.8527810306523</v>
      </c>
      <c r="V227" s="89">
        <f t="shared" si="349"/>
        <v>-1140.6477394593821</v>
      </c>
      <c r="W227" s="90" t="str">
        <f>IF(R227&gt;0,R227/(C227*(1-Podsumowanie!E$11))," ")</f>
        <v xml:space="preserve"> </v>
      </c>
      <c r="X227" s="90" t="str">
        <f t="shared" si="350"/>
        <v xml:space="preserve"> </v>
      </c>
      <c r="Y227" s="91">
        <f t="shared" si="351"/>
        <v>-49.966331655745954</v>
      </c>
      <c r="Z227" s="90">
        <f>IF(P227-SUM(AB$5:AB227)+1&gt;0,IF(Podsumowanie!E$7&lt;B227,IF(SUM(AB$5:AB227)-Podsumowanie!E$9+1&gt;0,PMT(M227/12,P227+1-SUM(AB$5:AB227),N227),Y227),0),0)</f>
        <v>-567.1294526854326</v>
      </c>
      <c r="AA227" s="90">
        <f t="shared" si="352"/>
        <v>-517.1631210296866</v>
      </c>
      <c r="AB227" s="8">
        <f>IF(AND(Podsumowanie!E$7&lt;B227,SUM(AB$5:AB226)&lt;P226),1," ")</f>
        <v>1</v>
      </c>
      <c r="AD227" s="10">
        <f>Podsumowanie!E$4-SUM(AF$5:AF226)+SUM(W$42:W227)-SUM(X$42:X227)</f>
        <v>103055.69813555237</v>
      </c>
      <c r="AE227" s="10">
        <f t="shared" si="353"/>
        <v>46.38</v>
      </c>
      <c r="AF227" s="10">
        <f t="shared" si="354"/>
        <v>505.17</v>
      </c>
      <c r="AG227" s="10">
        <f t="shared" si="355"/>
        <v>551.5500000000001</v>
      </c>
      <c r="AH227" s="10">
        <f t="shared" si="356"/>
        <v>2363.91</v>
      </c>
      <c r="AI227" s="10">
        <f>Podsumowanie!E$2-SUM(AK$5:AK226)+SUM(R$42:R227)-SUM(S$42:S227)</f>
        <v>227297.81999999977</v>
      </c>
      <c r="AJ227" s="10">
        <f t="shared" si="357"/>
        <v>102.28</v>
      </c>
      <c r="AK227" s="10">
        <f t="shared" si="358"/>
        <v>1114.21</v>
      </c>
      <c r="AL227" s="10">
        <f t="shared" si="359"/>
        <v>1216.49</v>
      </c>
      <c r="AM227" s="10">
        <f t="shared" si="360"/>
        <v>1147.4199999999998</v>
      </c>
      <c r="AO227" s="43">
        <f t="shared" si="361"/>
        <v>44013</v>
      </c>
      <c r="AP227" s="11">
        <f>AP$5+SUM(AS$5:AS226)-SUM(X$5:X227)+SUM(W$5:W227)</f>
        <v>107705.20379127462</v>
      </c>
      <c r="AQ227" s="10">
        <f t="shared" si="362"/>
        <v>-48.467341706073576</v>
      </c>
      <c r="AR227" s="10">
        <f>IF(AB227=1,IF(Q227="tak",AQ227,PMT(M227/12,P227+1-SUM(AB$5:AB227),AP227)),0)</f>
        <v>-550.1155691048697</v>
      </c>
      <c r="AS227" s="10">
        <f t="shared" si="363"/>
        <v>-501.6482273987961</v>
      </c>
      <c r="AT227" s="10">
        <f t="shared" si="184"/>
        <v>-2289.085894602273</v>
      </c>
      <c r="AV227" s="11">
        <f>AV$5+SUM(AX$5:AX226)+SUM(W$5:W226)-SUM(X$5:X226)</f>
        <v>99963.86719148573</v>
      </c>
      <c r="AW227" s="11">
        <f t="shared" si="364"/>
        <v>-48.467341706073576</v>
      </c>
      <c r="AX227" s="11">
        <f t="shared" si="365"/>
        <v>-490.02</v>
      </c>
      <c r="AY227" s="11">
        <f t="shared" si="366"/>
        <v>-538.4873417060736</v>
      </c>
      <c r="AZ227" s="11">
        <f t="shared" si="367"/>
        <v>-2240.699677573143</v>
      </c>
      <c r="BB227" s="191">
        <f t="shared" si="259"/>
        <v>0.0025</v>
      </c>
      <c r="BC227" s="44">
        <f>BB227+Podsumowanie!$E$6</f>
        <v>0.0145</v>
      </c>
      <c r="BD227" s="11">
        <f>BD$5+SUM(BE$5:BE226)+SUM(R$5:R226)-SUM(S$5:S226)</f>
        <v>285083.204329552</v>
      </c>
      <c r="BE227" s="10">
        <f t="shared" si="368"/>
        <v>-1226.3512707308394</v>
      </c>
      <c r="BF227" s="10">
        <f t="shared" si="369"/>
        <v>-344.4755385648754</v>
      </c>
      <c r="BG227" s="10">
        <f>IF(U227&lt;0,PMT(BC227/12,Podsumowanie!E$8-SUM(AB$5:AB227)+1,BD227),0)</f>
        <v>-1570.8268092957148</v>
      </c>
      <c r="BI227" s="11">
        <f>BI$5+SUM(BK$5:BK226)+SUM(R$5:R226)-SUM(S$5:S226)</f>
        <v>227298.05013927593</v>
      </c>
      <c r="BJ227" s="11">
        <f t="shared" si="213"/>
        <v>-274.65181058495847</v>
      </c>
      <c r="BK227" s="11">
        <f t="shared" si="214"/>
        <v>-1114.2061281337055</v>
      </c>
      <c r="BL227" s="11">
        <f t="shared" si="188"/>
        <v>-1388.857938718664</v>
      </c>
      <c r="BN227" s="44">
        <f t="shared" si="260"/>
        <v>0.0146</v>
      </c>
      <c r="BO227" s="11">
        <f>BO$5+SUM(BP$5:BP226)+SUM(R$5:R226)-SUM(S$5:S226)+SUM(BS$5:BS226)</f>
        <v>286878.2792234763</v>
      </c>
      <c r="BP227" s="10">
        <f t="shared" si="269"/>
        <v>-1232.982447205858</v>
      </c>
      <c r="BQ227" s="10">
        <f t="shared" si="270"/>
        <v>-349.0352397218962</v>
      </c>
      <c r="BR227" s="10">
        <f>IF(U227&lt;0,PMT(BN227/12,Podsumowanie!E$8-SUM(AB$5:AB227)+1,BO227),0)</f>
        <v>-1582.0176869277543</v>
      </c>
      <c r="BS227" s="10">
        <f t="shared" si="264"/>
        <v>-848.6611496086798</v>
      </c>
      <c r="BU227" s="11">
        <f>BU$5+SUM(BW$5:BW226)+SUM(R$5:R226)-SUM(S$5:S226)+SUM(BY$5,BY226)</f>
        <v>226271.89389483057</v>
      </c>
      <c r="BV227" s="10">
        <f t="shared" si="261"/>
        <v>-275.2974709053772</v>
      </c>
      <c r="BW227" s="10">
        <f t="shared" si="262"/>
        <v>-1109.1759504648558</v>
      </c>
      <c r="BX227" s="10">
        <f t="shared" si="271"/>
        <v>-1384.473421370233</v>
      </c>
      <c r="BY227" s="10">
        <f t="shared" si="272"/>
        <v>-1046.2054151662012</v>
      </c>
      <c r="CA227" s="10">
        <f>CA$5+SUM(CB$5:CB226)+SUM(R$5:R226)-SUM(S$5:S226)-SUM(CC$5:CC226)</f>
        <v>256279.20405651024</v>
      </c>
      <c r="CB227" s="10">
        <f t="shared" si="265"/>
        <v>275.2974709053772</v>
      </c>
      <c r="CC227" s="10">
        <f t="shared" si="266"/>
        <v>2430.678836536434</v>
      </c>
      <c r="CD227" s="10">
        <f t="shared" si="267"/>
        <v>2155.3813656310567</v>
      </c>
      <c r="CF227" s="44">
        <f t="shared" si="263"/>
        <v>0.3453</v>
      </c>
      <c r="CG227" s="10">
        <f t="shared" si="268"/>
        <v>-839.31</v>
      </c>
      <c r="CH227" s="4">
        <f t="shared" si="273"/>
        <v>0</v>
      </c>
    </row>
    <row r="228" spans="1:86" ht="15.75">
      <c r="A228" s="36"/>
      <c r="B228" s="37">
        <v>44044</v>
      </c>
      <c r="C228" s="77">
        <f t="shared" si="257"/>
        <v>4.0882</v>
      </c>
      <c r="D228" s="79">
        <f>C228*(1+Podsumowanie!E$11)</f>
        <v>4.210846</v>
      </c>
      <c r="E228" s="34">
        <f t="shared" si="344"/>
        <v>-567.1294526854325</v>
      </c>
      <c r="F228" s="7">
        <f t="shared" si="345"/>
        <v>-2388.094787322643</v>
      </c>
      <c r="G228" s="7">
        <f t="shared" si="346"/>
        <v>-1250.8527810306523</v>
      </c>
      <c r="H228" s="7">
        <f t="shared" si="347"/>
        <v>1137.2420062919905</v>
      </c>
      <c r="I228" s="32"/>
      <c r="K228" s="4">
        <f>IF(B228&lt;Podsumowanie!E$7,0,K227+1)</f>
        <v>158</v>
      </c>
      <c r="L228" s="100">
        <f t="shared" si="258"/>
        <v>-0.0066</v>
      </c>
      <c r="M228" s="38">
        <f>L228+Podsumowanie!E$6</f>
        <v>0.0054</v>
      </c>
      <c r="N228" s="101">
        <f>MAX(Podsumowanie!E$4+SUM(AA$5:AA227)-SUM(X$5:X228)+SUM(W$5:W228),0)</f>
        <v>110519.12944729465</v>
      </c>
      <c r="O228" s="102">
        <f>MAX(Podsumowanie!E$2+SUM(V$5:V227)-SUM(S$5:S228)+SUM(R$5:R228),0)</f>
        <v>243759.44464114078</v>
      </c>
      <c r="P228" s="39">
        <f t="shared" si="189"/>
        <v>360</v>
      </c>
      <c r="Q228" s="40" t="str">
        <f>IF(AND(K228&gt;0,K228&lt;=Podsumowanie!E$9),"tak","nie")</f>
        <v>nie</v>
      </c>
      <c r="R228" s="41"/>
      <c r="S228" s="42"/>
      <c r="T228" s="88">
        <f t="shared" si="348"/>
        <v>-109.69175008851336</v>
      </c>
      <c r="U228" s="89">
        <f>IF(Q228="tak",T228,IF(P228-SUM(AB$5:AB228)+1&gt;0,IF(Podsumowanie!E$7&lt;B228,IF(SUM(AB$5:AB228)-Podsumowanie!E$9+1&gt;0,PMT(M228/12,P228+1-SUM(AB$5:AB228),O228),T228),0),0))</f>
        <v>-1250.8527810306523</v>
      </c>
      <c r="V228" s="89">
        <f t="shared" si="349"/>
        <v>-1141.161030942139</v>
      </c>
      <c r="W228" s="90" t="str">
        <f>IF(R228&gt;0,R228/(C228*(1-Podsumowanie!E$11))," ")</f>
        <v xml:space="preserve"> </v>
      </c>
      <c r="X228" s="90" t="str">
        <f t="shared" si="350"/>
        <v xml:space="preserve"> </v>
      </c>
      <c r="Y228" s="91">
        <f t="shared" si="351"/>
        <v>-49.73360825128259</v>
      </c>
      <c r="Z228" s="90">
        <f>IF(P228-SUM(AB$5:AB228)+1&gt;0,IF(Podsumowanie!E$7&lt;B228,IF(SUM(AB$5:AB228)-Podsumowanie!E$9+1&gt;0,PMT(M228/12,P228+1-SUM(AB$5:AB228),N228),Y228),0),0)</f>
        <v>-567.1294526854325</v>
      </c>
      <c r="AA228" s="90">
        <f t="shared" si="352"/>
        <v>-517.3958444341499</v>
      </c>
      <c r="AB228" s="8">
        <f>IF(AND(Podsumowanie!E$7&lt;B228,SUM(AB$5:AB227)&lt;P227),1," ")</f>
        <v>1</v>
      </c>
      <c r="AD228" s="10">
        <f>Podsumowanie!E$4-SUM(AF$5:AF227)+SUM(W$42:W228)-SUM(X$42:X228)</f>
        <v>102550.52813555238</v>
      </c>
      <c r="AE228" s="10">
        <f t="shared" si="353"/>
        <v>46.15</v>
      </c>
      <c r="AF228" s="10">
        <f t="shared" si="354"/>
        <v>505.18</v>
      </c>
      <c r="AG228" s="10">
        <f t="shared" si="355"/>
        <v>551.33</v>
      </c>
      <c r="AH228" s="10">
        <f t="shared" si="356"/>
        <v>2321.57</v>
      </c>
      <c r="AI228" s="10">
        <f>Podsumowanie!E$2-SUM(AK$5:AK227)+SUM(R$42:R228)-SUM(S$42:S228)</f>
        <v>226183.60999999978</v>
      </c>
      <c r="AJ228" s="10">
        <f t="shared" si="357"/>
        <v>101.78</v>
      </c>
      <c r="AK228" s="10">
        <f t="shared" si="358"/>
        <v>1114.2</v>
      </c>
      <c r="AL228" s="10">
        <f t="shared" si="359"/>
        <v>1215.98</v>
      </c>
      <c r="AM228" s="10">
        <f t="shared" si="360"/>
        <v>1105.5900000000001</v>
      </c>
      <c r="AO228" s="43">
        <f t="shared" si="361"/>
        <v>44044</v>
      </c>
      <c r="AP228" s="11">
        <f>AP$5+SUM(AS$5:AS227)-SUM(X$5:X228)+SUM(W$5:W228)</f>
        <v>107203.55556387582</v>
      </c>
      <c r="AQ228" s="10">
        <f t="shared" si="362"/>
        <v>-48.24160000374412</v>
      </c>
      <c r="AR228" s="10">
        <f>IF(AB228=1,IF(Q228="tak",AQ228,PMT(M228/12,P228+1-SUM(AB$5:AB228),AP228)),0)</f>
        <v>-550.1155691048697</v>
      </c>
      <c r="AS228" s="10">
        <f t="shared" si="363"/>
        <v>-501.87396910112557</v>
      </c>
      <c r="AT228" s="10">
        <f t="shared" si="184"/>
        <v>-2248.982469614528</v>
      </c>
      <c r="AV228" s="11">
        <f>AV$5+SUM(AX$5:AX227)+SUM(W$5:W227)-SUM(X$5:X227)</f>
        <v>99473.84719148572</v>
      </c>
      <c r="AW228" s="11">
        <f t="shared" si="364"/>
        <v>-48.24160000374412</v>
      </c>
      <c r="AX228" s="11">
        <f t="shared" si="365"/>
        <v>-490.02</v>
      </c>
      <c r="AY228" s="11">
        <f t="shared" si="366"/>
        <v>-538.2616000037441</v>
      </c>
      <c r="AZ228" s="11">
        <f t="shared" si="367"/>
        <v>-2200.5210731353063</v>
      </c>
      <c r="BB228" s="191">
        <f t="shared" si="259"/>
        <v>0.0023</v>
      </c>
      <c r="BC228" s="44">
        <f>BB228+Podsumowanie!$E$6</f>
        <v>0.0143</v>
      </c>
      <c r="BD228" s="11">
        <f>BD$5+SUM(BE$5:BE227)+SUM(R$5:R227)-SUM(S$5:S227)</f>
        <v>283856.8530588212</v>
      </c>
      <c r="BE228" s="10">
        <f t="shared" si="368"/>
        <v>-1229.9945295849316</v>
      </c>
      <c r="BF228" s="10">
        <f t="shared" si="369"/>
        <v>-338.2627498950952</v>
      </c>
      <c r="BG228" s="10">
        <f>IF(U228&lt;0,PMT(BC228/12,Podsumowanie!E$8-SUM(AB$5:AB228)+1,BD228),0)</f>
        <v>-1568.2572794800267</v>
      </c>
      <c r="BI228" s="11">
        <f>BI$5+SUM(BK$5:BK227)+SUM(R$5:R227)-SUM(S$5:S227)</f>
        <v>226183.84401114224</v>
      </c>
      <c r="BJ228" s="11">
        <f t="shared" si="213"/>
        <v>-269.5357474466112</v>
      </c>
      <c r="BK228" s="11">
        <f t="shared" si="214"/>
        <v>-1114.2061281337055</v>
      </c>
      <c r="BL228" s="11">
        <f t="shared" si="188"/>
        <v>-1383.7418755803167</v>
      </c>
      <c r="BN228" s="44">
        <f t="shared" si="260"/>
        <v>0.0144</v>
      </c>
      <c r="BO228" s="11">
        <f>BO$5+SUM(BP$5:BP227)+SUM(R$5:R227)-SUM(S$5:S227)+SUM(BS$5:BS227)</f>
        <v>284796.63562666177</v>
      </c>
      <c r="BP228" s="10">
        <f t="shared" si="269"/>
        <v>-1232.9821286612007</v>
      </c>
      <c r="BQ228" s="10">
        <f t="shared" si="270"/>
        <v>-341.7559627519941</v>
      </c>
      <c r="BR228" s="10">
        <f>IF(U228&lt;0,PMT(BN228/12,Podsumowanie!E$8-SUM(AB$5:AB228)+1,BO228),0)</f>
        <v>-1574.7380914131948</v>
      </c>
      <c r="BS228" s="10">
        <f t="shared" si="264"/>
        <v>-813.356695909448</v>
      </c>
      <c r="BU228" s="11">
        <f>BU$5+SUM(BW$5:BW227)+SUM(R$5:R227)-SUM(S$5:S227)+SUM(BY$5,BY227)</f>
        <v>225149.6000887384</v>
      </c>
      <c r="BV228" s="10">
        <f t="shared" si="261"/>
        <v>-270.1795201064861</v>
      </c>
      <c r="BW228" s="10">
        <f t="shared" si="262"/>
        <v>-1109.1113304863961</v>
      </c>
      <c r="BX228" s="10">
        <f t="shared" si="271"/>
        <v>-1379.2908505928822</v>
      </c>
      <c r="BY228" s="10">
        <f t="shared" si="272"/>
        <v>-1008.8039367297606</v>
      </c>
      <c r="CA228" s="10">
        <f>CA$5+SUM(CB$5:CB227)+SUM(R$5:R227)-SUM(S$5:S227)-SUM(CC$5:CC227)</f>
        <v>254123.8226908793</v>
      </c>
      <c r="CB228" s="10">
        <f t="shared" si="265"/>
        <v>270.1795201064861</v>
      </c>
      <c r="CC228" s="10">
        <f t="shared" si="266"/>
        <v>2388.094787322643</v>
      </c>
      <c r="CD228" s="10">
        <f t="shared" si="267"/>
        <v>2117.9152672161567</v>
      </c>
      <c r="CF228" s="44">
        <f t="shared" si="263"/>
        <v>0.3467</v>
      </c>
      <c r="CG228" s="10">
        <f t="shared" si="268"/>
        <v>-827.95</v>
      </c>
      <c r="CH228" s="4">
        <f t="shared" si="273"/>
        <v>0</v>
      </c>
    </row>
    <row r="229" spans="1:86" ht="15.75">
      <c r="A229" s="36"/>
      <c r="B229" s="37">
        <v>44075</v>
      </c>
      <c r="C229" s="77">
        <f t="shared" si="257"/>
        <v>4.1487</v>
      </c>
      <c r="D229" s="79">
        <f>C229*(1+Podsumowanie!E$11)</f>
        <v>4.273161</v>
      </c>
      <c r="E229" s="34">
        <f aca="true" t="shared" si="370" ref="E229:E237">Z229</f>
        <v>-567.1294526854326</v>
      </c>
      <c r="F229" s="7">
        <f aca="true" t="shared" si="371" ref="F229:F237">E229*D229</f>
        <v>-2423.435459166736</v>
      </c>
      <c r="G229" s="7">
        <f aca="true" t="shared" si="372" ref="G229:G237">U229</f>
        <v>-1250.8527810306525</v>
      </c>
      <c r="H229" s="7">
        <f aca="true" t="shared" si="373" ref="H229:H237">G229-F229</f>
        <v>1172.5826781360836</v>
      </c>
      <c r="I229" s="32"/>
      <c r="K229" s="4">
        <f>IF(B229&lt;Podsumowanie!E$7,0,K228+1)</f>
        <v>159</v>
      </c>
      <c r="L229" s="100">
        <f t="shared" si="258"/>
        <v>-0.0066</v>
      </c>
      <c r="M229" s="38">
        <f>L229+Podsumowanie!E$6</f>
        <v>0.0054</v>
      </c>
      <c r="N229" s="101">
        <f>MAX(Podsumowanie!E$4+SUM(AA$5:AA228)-SUM(X$5:X229)+SUM(W$5:W229),0)</f>
        <v>110001.73360286049</v>
      </c>
      <c r="O229" s="102">
        <f>MAX(Podsumowanie!E$2+SUM(V$5:V228)-SUM(S$5:S229)+SUM(R$5:R229),0)</f>
        <v>242618.28361019865</v>
      </c>
      <c r="P229" s="39">
        <f t="shared" si="189"/>
        <v>360</v>
      </c>
      <c r="Q229" s="40" t="str">
        <f>IF(AND(K229&gt;0,K229&lt;=Podsumowanie!E$9),"tak","nie")</f>
        <v>nie</v>
      </c>
      <c r="R229" s="41"/>
      <c r="S229" s="42"/>
      <c r="T229" s="88">
        <f aca="true" t="shared" si="374" ref="T229:T237">IF(AB229=1,-O229*M229/12,0)</f>
        <v>-109.1782276245894</v>
      </c>
      <c r="U229" s="89">
        <f>IF(Q229="tak",T229,IF(P229-SUM(AB$5:AB229)+1&gt;0,IF(Podsumowanie!E$7&lt;B229,IF(SUM(AB$5:AB229)-Podsumowanie!E$9+1&gt;0,PMT(M229/12,P229+1-SUM(AB$5:AB229),O229),T229),0),0))</f>
        <v>-1250.8527810306525</v>
      </c>
      <c r="V229" s="89">
        <f aca="true" t="shared" si="375" ref="V229:V237">U229-T229</f>
        <v>-1141.674553406063</v>
      </c>
      <c r="W229" s="90" t="str">
        <f>IF(R229&gt;0,R229/(C229*(1-Podsumowanie!E$11))," ")</f>
        <v xml:space="preserve"> </v>
      </c>
      <c r="X229" s="90" t="str">
        <f aca="true" t="shared" si="376" ref="X229:X237">IF(S229&gt;0,S229/D229," ")</f>
        <v xml:space="preserve"> </v>
      </c>
      <c r="Y229" s="91">
        <f aca="true" t="shared" si="377" ref="Y229:Y237">IF(AB229=1,-N229*M229/12,0)</f>
        <v>-49.50078012128722</v>
      </c>
      <c r="Z229" s="90">
        <f>IF(P229-SUM(AB$5:AB229)+1&gt;0,IF(Podsumowanie!E$7&lt;B229,IF(SUM(AB$5:AB229)-Podsumowanie!E$9+1&gt;0,PMT(M229/12,P229+1-SUM(AB$5:AB229),N229),Y229),0),0)</f>
        <v>-567.1294526854326</v>
      </c>
      <c r="AA229" s="90">
        <f aca="true" t="shared" si="378" ref="AA229:AA237">Z229-Y229</f>
        <v>-517.6286725641454</v>
      </c>
      <c r="AB229" s="8">
        <f>IF(AND(Podsumowanie!E$7&lt;B229,SUM(AB$5:AB228)&lt;P228),1," ")</f>
        <v>1</v>
      </c>
      <c r="AD229" s="10">
        <f>Podsumowanie!E$4-SUM(AF$5:AF228)+SUM(W$42:W229)-SUM(X$42:X229)</f>
        <v>102045.34813555238</v>
      </c>
      <c r="AE229" s="10">
        <f aca="true" t="shared" si="379" ref="AE229:AE237">IF(AB229=1,ROUND(AD229*M229/12,2),0)</f>
        <v>45.92</v>
      </c>
      <c r="AF229" s="10">
        <f aca="true" t="shared" si="380" ref="AF229:AF237">IF(Q229="tak",0,IF(AB229=1,ROUND(AD229/(P229-K229+1),2),0))</f>
        <v>505.17</v>
      </c>
      <c r="AG229" s="10">
        <f aca="true" t="shared" si="381" ref="AG229:AG237">AF229+AE229</f>
        <v>551.09</v>
      </c>
      <c r="AH229" s="10">
        <f aca="true" t="shared" si="382" ref="AH229:AH237">ROUND(AG229*D229,2)</f>
        <v>2354.9</v>
      </c>
      <c r="AI229" s="10">
        <f>Podsumowanie!E$2-SUM(AK$5:AK228)+SUM(R$42:R229)-SUM(S$42:S229)</f>
        <v>225069.40999999977</v>
      </c>
      <c r="AJ229" s="10">
        <f aca="true" t="shared" si="383" ref="AJ229:AJ237">IF(AB229=1,ROUND(AI229*M229/12,2),0)</f>
        <v>101.28</v>
      </c>
      <c r="AK229" s="10">
        <f aca="true" t="shared" si="384" ref="AK229:AK237">IF(Q229="tak",0,IF(AB229=1,ROUND(AI229/(P229-K229+1),2),0))</f>
        <v>1114.21</v>
      </c>
      <c r="AL229" s="10">
        <f aca="true" t="shared" si="385" ref="AL229:AL237">AK229+AJ229</f>
        <v>1215.49</v>
      </c>
      <c r="AM229" s="10">
        <f aca="true" t="shared" si="386" ref="AM229:AM237">AH229-AL229</f>
        <v>1139.41</v>
      </c>
      <c r="AO229" s="43">
        <f aca="true" t="shared" si="387" ref="AO229:AO237">B229</f>
        <v>44075</v>
      </c>
      <c r="AP229" s="11">
        <f>AP$5+SUM(AS$5:AS228)-SUM(X$5:X229)+SUM(W$5:W229)</f>
        <v>106701.6815947747</v>
      </c>
      <c r="AQ229" s="10">
        <f aca="true" t="shared" si="388" ref="AQ229:AQ237">IF(AB229=1,-AP229*M229/12,0)</f>
        <v>-48.01575671764862</v>
      </c>
      <c r="AR229" s="10">
        <f>IF(AB229=1,IF(Q229="tak",AQ229,PMT(M229/12,P229+1-SUM(AB$5:AB229),AP229)),0)</f>
        <v>-550.1155691048698</v>
      </c>
      <c r="AS229" s="10">
        <f aca="true" t="shared" si="389" ref="AS229:AS237">AR229-AQ229</f>
        <v>-502.09981238722116</v>
      </c>
      <c r="AT229" s="10">
        <f aca="true" t="shared" si="390" ref="AT229:AT237">AR229*C229</f>
        <v>-2282.2644615453733</v>
      </c>
      <c r="AV229" s="11">
        <f>AV$5+SUM(AX$5:AX228)+SUM(W$5:W228)-SUM(X$5:X228)</f>
        <v>98983.82719148572</v>
      </c>
      <c r="AW229" s="11">
        <f aca="true" t="shared" si="391" ref="AW229:AW237">IF(AB229=1,-AP229*M229/12,0)</f>
        <v>-48.01575671764862</v>
      </c>
      <c r="AX229" s="11">
        <f aca="true" t="shared" si="392" ref="AX229:AX237">IF(AB229=1,IF(Q229="tak",0,ROUND(-AV229/(P229-K229+1),2)),0)</f>
        <v>-490.02</v>
      </c>
      <c r="AY229" s="11">
        <f aca="true" t="shared" si="393" ref="AY229:AY237">AX229+AW229</f>
        <v>-538.0357567176486</v>
      </c>
      <c r="AZ229" s="11">
        <f aca="true" t="shared" si="394" ref="AZ229:AZ237">AY229*C229</f>
        <v>-2232.1489438945086</v>
      </c>
      <c r="BB229" s="191">
        <f t="shared" si="259"/>
        <v>0.0023</v>
      </c>
      <c r="BC229" s="44">
        <f>BB229+Podsumowanie!$E$6</f>
        <v>0.0143</v>
      </c>
      <c r="BD229" s="11">
        <f>BD$5+SUM(BE$5:BE228)+SUM(R$5:R228)-SUM(S$5:S228)</f>
        <v>282626.8585292363</v>
      </c>
      <c r="BE229" s="10">
        <f aca="true" t="shared" si="395" ref="BE229:BE237">IF(BG229&lt;0,BG229-BF229,0)</f>
        <v>-1231.4602730660201</v>
      </c>
      <c r="BF229" s="10">
        <f aca="true" t="shared" si="396" ref="BF229:BF237">IF(BG229&lt;0,-BD229*BC229/12,0)</f>
        <v>-336.7970064140066</v>
      </c>
      <c r="BG229" s="10">
        <f>IF(U229&lt;0,PMT(BC229/12,Podsumowanie!E$8-SUM(AB$5:AB229)+1,BD229),0)</f>
        <v>-1568.2572794800267</v>
      </c>
      <c r="BI229" s="11">
        <f>BI$5+SUM(BK$5:BK228)+SUM(R$5:R228)-SUM(S$5:S228)</f>
        <v>225069.63788300855</v>
      </c>
      <c r="BJ229" s="11">
        <f t="shared" si="213"/>
        <v>-268.2079851439185</v>
      </c>
      <c r="BK229" s="11">
        <f t="shared" si="214"/>
        <v>-1114.2061281337058</v>
      </c>
      <c r="BL229" s="11">
        <f t="shared" si="188"/>
        <v>-1382.4141132776242</v>
      </c>
      <c r="BN229" s="44">
        <f t="shared" si="260"/>
        <v>0.0144</v>
      </c>
      <c r="BO229" s="11">
        <f>BO$5+SUM(BP$5:BP228)+SUM(R$5:R228)-SUM(S$5:S228)+SUM(BS$5:BS228)</f>
        <v>282750.2968020911</v>
      </c>
      <c r="BP229" s="10">
        <f t="shared" si="269"/>
        <v>-1230.920852514994</v>
      </c>
      <c r="BQ229" s="10">
        <f t="shared" si="270"/>
        <v>-339.30035616250933</v>
      </c>
      <c r="BR229" s="10">
        <f>IF(U229&lt;0,PMT(BN229/12,Podsumowanie!E$8-SUM(AB$5:AB229)+1,BO229),0)</f>
        <v>-1570.2212086775035</v>
      </c>
      <c r="BS229" s="10">
        <f t="shared" si="264"/>
        <v>-853.2142504892327</v>
      </c>
      <c r="BU229" s="11">
        <f>BU$5+SUM(BW$5:BW228)+SUM(R$5:R228)-SUM(S$5:S228)+SUM(BY$5,BY228)</f>
        <v>224077.89023668843</v>
      </c>
      <c r="BV229" s="10">
        <f t="shared" si="261"/>
        <v>-268.89346828402614</v>
      </c>
      <c r="BW229" s="10">
        <f t="shared" si="262"/>
        <v>-1109.2964863202396</v>
      </c>
      <c r="BX229" s="10">
        <f t="shared" si="271"/>
        <v>-1378.1899546042657</v>
      </c>
      <c r="BY229" s="10">
        <f t="shared" si="272"/>
        <v>-1045.2455045624704</v>
      </c>
      <c r="CA229" s="10">
        <f>CA$5+SUM(CB$5:CB228)+SUM(R$5:R228)-SUM(S$5:S228)-SUM(CC$5:CC228)</f>
        <v>252005.9074236632</v>
      </c>
      <c r="CB229" s="10">
        <f t="shared" si="265"/>
        <v>268.89346828402614</v>
      </c>
      <c r="CC229" s="10">
        <f t="shared" si="266"/>
        <v>2423.435459166736</v>
      </c>
      <c r="CD229" s="10">
        <f t="shared" si="267"/>
        <v>2154.54199088271</v>
      </c>
      <c r="CF229" s="44">
        <f t="shared" si="263"/>
        <v>0.344</v>
      </c>
      <c r="CG229" s="10">
        <f t="shared" si="268"/>
        <v>-833.66</v>
      </c>
      <c r="CH229" s="4">
        <f t="shared" si="273"/>
        <v>0</v>
      </c>
    </row>
    <row r="230" spans="1:86" ht="15.75">
      <c r="A230" s="36"/>
      <c r="B230" s="37">
        <v>44105</v>
      </c>
      <c r="C230" s="77">
        <f t="shared" si="257"/>
        <v>4.2282</v>
      </c>
      <c r="D230" s="79">
        <f>C230*(1+Podsumowanie!E$11)</f>
        <v>4.355046000000001</v>
      </c>
      <c r="E230" s="34">
        <f t="shared" si="370"/>
        <v>-561.950105242696</v>
      </c>
      <c r="F230" s="7">
        <f t="shared" si="371"/>
        <v>-2447.3185580367826</v>
      </c>
      <c r="G230" s="7">
        <f t="shared" si="372"/>
        <v>-1239.429284821817</v>
      </c>
      <c r="H230" s="7">
        <f t="shared" si="373"/>
        <v>1207.8892732149657</v>
      </c>
      <c r="I230" s="32"/>
      <c r="K230" s="4">
        <f>IF(B230&lt;Podsumowanie!E$7,0,K229+1)</f>
        <v>160</v>
      </c>
      <c r="L230" s="100">
        <f t="shared" si="258"/>
        <v>-0.0077</v>
      </c>
      <c r="M230" s="38">
        <f>L230+Podsumowanie!E$6</f>
        <v>0.0043</v>
      </c>
      <c r="N230" s="101">
        <f>MAX(Podsumowanie!E$4+SUM(AA$5:AA229)-SUM(X$5:X230)+SUM(W$5:W230),0)</f>
        <v>109484.10493029635</v>
      </c>
      <c r="O230" s="102">
        <f>MAX(Podsumowanie!E$2+SUM(V$5:V229)-SUM(S$5:S230)+SUM(R$5:R230),0)</f>
        <v>241476.60905679257</v>
      </c>
      <c r="P230" s="39">
        <f t="shared" si="189"/>
        <v>360</v>
      </c>
      <c r="Q230" s="40" t="str">
        <f>IF(AND(K230&gt;0,K230&lt;=Podsumowanie!E$9),"tak","nie")</f>
        <v>nie</v>
      </c>
      <c r="R230" s="41"/>
      <c r="S230" s="42"/>
      <c r="T230" s="88">
        <f t="shared" si="374"/>
        <v>-86.52911824535067</v>
      </c>
      <c r="U230" s="89">
        <f>IF(Q230="tak",T230,IF(P230-SUM(AB$5:AB230)+1&gt;0,IF(Podsumowanie!E$7&lt;B230,IF(SUM(AB$5:AB230)-Podsumowanie!E$9+1&gt;0,PMT(M230/12,P230+1-SUM(AB$5:AB230),O230),T230),0),0))</f>
        <v>-1239.429284821817</v>
      </c>
      <c r="V230" s="89">
        <f t="shared" si="375"/>
        <v>-1152.9001665764663</v>
      </c>
      <c r="W230" s="90" t="str">
        <f>IF(R230&gt;0,R230/(C230*(1-Podsumowanie!E$11))," ")</f>
        <v xml:space="preserve"> </v>
      </c>
      <c r="X230" s="90" t="str">
        <f t="shared" si="376"/>
        <v xml:space="preserve"> </v>
      </c>
      <c r="Y230" s="91">
        <f t="shared" si="377"/>
        <v>-39.23180426668953</v>
      </c>
      <c r="Z230" s="90">
        <f>IF(P230-SUM(AB$5:AB230)+1&gt;0,IF(Podsumowanie!E$7&lt;B230,IF(SUM(AB$5:AB230)-Podsumowanie!E$9+1&gt;0,PMT(M230/12,P230+1-SUM(AB$5:AB230),N230),Y230),0),0)</f>
        <v>-561.950105242696</v>
      </c>
      <c r="AA230" s="90">
        <f t="shared" si="378"/>
        <v>-522.7183009760065</v>
      </c>
      <c r="AB230" s="8">
        <f>IF(AND(Podsumowanie!E$7&lt;B230,SUM(AB$5:AB229)&lt;P229),1," ")</f>
        <v>1</v>
      </c>
      <c r="AD230" s="10">
        <f>Podsumowanie!E$4-SUM(AF$5:AF229)+SUM(W$42:W230)-SUM(X$42:X230)</f>
        <v>101540.17813555239</v>
      </c>
      <c r="AE230" s="10">
        <f t="shared" si="379"/>
        <v>36.39</v>
      </c>
      <c r="AF230" s="10">
        <f t="shared" si="380"/>
        <v>505.18</v>
      </c>
      <c r="AG230" s="10">
        <f t="shared" si="381"/>
        <v>541.57</v>
      </c>
      <c r="AH230" s="10">
        <f t="shared" si="382"/>
        <v>2358.56</v>
      </c>
      <c r="AI230" s="10">
        <f>Podsumowanie!E$2-SUM(AK$5:AK229)+SUM(R$42:R230)-SUM(S$42:S230)</f>
        <v>223955.19999999978</v>
      </c>
      <c r="AJ230" s="10">
        <f t="shared" si="383"/>
        <v>80.25</v>
      </c>
      <c r="AK230" s="10">
        <f t="shared" si="384"/>
        <v>1114.2</v>
      </c>
      <c r="AL230" s="10">
        <f t="shared" si="385"/>
        <v>1194.45</v>
      </c>
      <c r="AM230" s="10">
        <f t="shared" si="386"/>
        <v>1164.11</v>
      </c>
      <c r="AO230" s="43">
        <f t="shared" si="387"/>
        <v>44105</v>
      </c>
      <c r="AP230" s="11">
        <f>AP$5+SUM(AS$5:AS229)-SUM(X$5:X230)+SUM(W$5:W230)</f>
        <v>106199.58178238747</v>
      </c>
      <c r="AQ230" s="10">
        <f t="shared" si="388"/>
        <v>-38.05485013868884</v>
      </c>
      <c r="AR230" s="10">
        <f>IF(AB230=1,IF(Q230="tak",AQ230,PMT(M230/12,P230+1-SUM(AB$5:AB230),AP230)),0)</f>
        <v>-545.0916020854153</v>
      </c>
      <c r="AS230" s="10">
        <f t="shared" si="389"/>
        <v>-507.03675194672644</v>
      </c>
      <c r="AT230" s="10">
        <f t="shared" si="390"/>
        <v>-2304.756311937553</v>
      </c>
      <c r="AV230" s="11">
        <f>AV$5+SUM(AX$5:AX229)+SUM(W$5:W229)-SUM(X$5:X229)</f>
        <v>98493.80719148571</v>
      </c>
      <c r="AW230" s="11">
        <f t="shared" si="391"/>
        <v>-38.05485013868884</v>
      </c>
      <c r="AX230" s="11">
        <f t="shared" si="392"/>
        <v>-490.02</v>
      </c>
      <c r="AY230" s="11">
        <f t="shared" si="393"/>
        <v>-528.0748501386888</v>
      </c>
      <c r="AZ230" s="11">
        <f t="shared" si="394"/>
        <v>-2232.8060813564043</v>
      </c>
      <c r="BB230" s="191">
        <f t="shared" si="259"/>
        <v>0.0022</v>
      </c>
      <c r="BC230" s="44">
        <f>BB230+Podsumowanie!$E$6</f>
        <v>0.0142</v>
      </c>
      <c r="BD230" s="11">
        <f>BD$5+SUM(BE$5:BE229)+SUM(R$5:R229)-SUM(S$5:S229)</f>
        <v>281395.3982561702</v>
      </c>
      <c r="BE230" s="10">
        <f t="shared" si="395"/>
        <v>-1234.000954827916</v>
      </c>
      <c r="BF230" s="10">
        <f t="shared" si="396"/>
        <v>-332.98455460313477</v>
      </c>
      <c r="BG230" s="10">
        <f>IF(U230&lt;0,PMT(BC230/12,Podsumowanie!E$8-SUM(AB$5:AB230)+1,BD230),0)</f>
        <v>-1566.9855094310508</v>
      </c>
      <c r="BI230" s="11">
        <f>BI$5+SUM(BK$5:BK229)+SUM(R$5:R229)-SUM(S$5:S229)</f>
        <v>223955.43175487485</v>
      </c>
      <c r="BJ230" s="11">
        <f t="shared" si="213"/>
        <v>-265.01392757660193</v>
      </c>
      <c r="BK230" s="11">
        <f t="shared" si="214"/>
        <v>-1114.2061281337058</v>
      </c>
      <c r="BL230" s="11">
        <f t="shared" si="188"/>
        <v>-1379.2200557103076</v>
      </c>
      <c r="BN230" s="44">
        <f t="shared" si="260"/>
        <v>0.0143</v>
      </c>
      <c r="BO230" s="11">
        <f>BO$5+SUM(BP$5:BP229)+SUM(R$5:R229)-SUM(S$5:S229)+SUM(BS$5:BS229)</f>
        <v>280666.16169908695</v>
      </c>
      <c r="BP230" s="10">
        <f t="shared" si="269"/>
        <v>-1229.732629250434</v>
      </c>
      <c r="BQ230" s="10">
        <f t="shared" si="270"/>
        <v>-334.46050935807864</v>
      </c>
      <c r="BR230" s="10">
        <f>IF(U230&lt;0,PMT(BN230/12,Podsumowanie!E$8-SUM(AB$5:AB230)+1,BO230),0)</f>
        <v>-1564.1931386085128</v>
      </c>
      <c r="BS230" s="10">
        <f t="shared" si="264"/>
        <v>-883.1254194282699</v>
      </c>
      <c r="BU230" s="11">
        <f>BU$5+SUM(BW$5:BW229)+SUM(R$5:R229)-SUM(S$5:S229)+SUM(BY$5,BY229)</f>
        <v>222932.15218253547</v>
      </c>
      <c r="BV230" s="10">
        <f t="shared" si="261"/>
        <v>-265.6608146841881</v>
      </c>
      <c r="BW230" s="10">
        <f t="shared" si="262"/>
        <v>-1109.1151849877388</v>
      </c>
      <c r="BX230" s="10">
        <f t="shared" si="271"/>
        <v>-1374.775999671927</v>
      </c>
      <c r="BY230" s="10">
        <f t="shared" si="272"/>
        <v>-1072.5425583648557</v>
      </c>
      <c r="CA230" s="10">
        <f>CA$5+SUM(CB$5:CB229)+SUM(R$5:R229)-SUM(S$5:S229)-SUM(CC$5:CC229)</f>
        <v>249851.36543278035</v>
      </c>
      <c r="CB230" s="10">
        <f t="shared" si="265"/>
        <v>265.6608146841881</v>
      </c>
      <c r="CC230" s="10">
        <f t="shared" si="266"/>
        <v>2447.3185580367826</v>
      </c>
      <c r="CD230" s="10">
        <f t="shared" si="267"/>
        <v>2181.6577433525945</v>
      </c>
      <c r="CF230" s="44">
        <f t="shared" si="263"/>
        <v>0.3426</v>
      </c>
      <c r="CG230" s="10">
        <f t="shared" si="268"/>
        <v>-838.45</v>
      </c>
      <c r="CH230" s="4">
        <f t="shared" si="273"/>
        <v>0</v>
      </c>
    </row>
    <row r="231" spans="1:86" ht="15.75">
      <c r="A231" s="36"/>
      <c r="B231" s="37">
        <v>44136</v>
      </c>
      <c r="C231" s="77">
        <f t="shared" si="257"/>
        <v>4.1783</v>
      </c>
      <c r="D231" s="79">
        <f>C231*(1+Podsumowanie!E$11)</f>
        <v>4.303649</v>
      </c>
      <c r="E231" s="34">
        <f t="shared" si="370"/>
        <v>-561.950105242696</v>
      </c>
      <c r="F231" s="7">
        <f t="shared" si="371"/>
        <v>-2418.4360084776235</v>
      </c>
      <c r="G231" s="7">
        <f t="shared" si="372"/>
        <v>-1239.429284821817</v>
      </c>
      <c r="H231" s="7">
        <f t="shared" si="373"/>
        <v>1179.0067236558066</v>
      </c>
      <c r="I231" s="32"/>
      <c r="K231" s="4">
        <f>IF(B231&lt;Podsumowanie!E$7,0,K230+1)</f>
        <v>161</v>
      </c>
      <c r="L231" s="100">
        <f t="shared" si="258"/>
        <v>-0.0077</v>
      </c>
      <c r="M231" s="38">
        <f>L231+Podsumowanie!E$6</f>
        <v>0.0043</v>
      </c>
      <c r="N231" s="101">
        <f>MAX(Podsumowanie!E$4+SUM(AA$5:AA230)-SUM(X$5:X231)+SUM(W$5:W231),0)</f>
        <v>108961.38662932035</v>
      </c>
      <c r="O231" s="102">
        <f>MAX(Podsumowanie!E$2+SUM(V$5:V230)-SUM(S$5:S231)+SUM(R$5:R231),0)</f>
        <v>240323.7088902161</v>
      </c>
      <c r="P231" s="39">
        <f t="shared" si="189"/>
        <v>360</v>
      </c>
      <c r="Q231" s="40" t="str">
        <f>IF(AND(K231&gt;0,K231&lt;=Podsumowanie!E$9),"tak","nie")</f>
        <v>nie</v>
      </c>
      <c r="R231" s="41"/>
      <c r="S231" s="42"/>
      <c r="T231" s="88">
        <f t="shared" si="374"/>
        <v>-86.11599568566078</v>
      </c>
      <c r="U231" s="89">
        <f>IF(Q231="tak",T231,IF(P231-SUM(AB$5:AB231)+1&gt;0,IF(Podsumowanie!E$7&lt;B231,IF(SUM(AB$5:AB231)-Podsumowanie!E$9+1&gt;0,PMT(M231/12,P231+1-SUM(AB$5:AB231),O231),T231),0),0))</f>
        <v>-1239.429284821817</v>
      </c>
      <c r="V231" s="89">
        <f t="shared" si="375"/>
        <v>-1153.313289136156</v>
      </c>
      <c r="W231" s="90" t="str">
        <f>IF(R231&gt;0,R231/(C231*(1-Podsumowanie!E$11))," ")</f>
        <v xml:space="preserve"> </v>
      </c>
      <c r="X231" s="90" t="str">
        <f t="shared" si="376"/>
        <v xml:space="preserve"> </v>
      </c>
      <c r="Y231" s="91">
        <f t="shared" si="377"/>
        <v>-39.04449687550646</v>
      </c>
      <c r="Z231" s="90">
        <f>IF(P231-SUM(AB$5:AB231)+1&gt;0,IF(Podsumowanie!E$7&lt;B231,IF(SUM(AB$5:AB231)-Podsumowanie!E$9+1&gt;0,PMT(M231/12,P231+1-SUM(AB$5:AB231),N231),Y231),0),0)</f>
        <v>-561.950105242696</v>
      </c>
      <c r="AA231" s="90">
        <f t="shared" si="378"/>
        <v>-522.9056083671896</v>
      </c>
      <c r="AB231" s="8">
        <f>IF(AND(Podsumowanie!E$7&lt;B231,SUM(AB$5:AB230)&lt;P230),1," ")</f>
        <v>1</v>
      </c>
      <c r="AD231" s="10">
        <f>Podsumowanie!E$4-SUM(AF$5:AF230)+SUM(W$42:W231)-SUM(X$42:X231)</f>
        <v>101034.99813555239</v>
      </c>
      <c r="AE231" s="10">
        <f t="shared" si="379"/>
        <v>36.2</v>
      </c>
      <c r="AF231" s="10">
        <f t="shared" si="380"/>
        <v>505.17</v>
      </c>
      <c r="AG231" s="10">
        <f t="shared" si="381"/>
        <v>541.37</v>
      </c>
      <c r="AH231" s="10">
        <f t="shared" si="382"/>
        <v>2329.87</v>
      </c>
      <c r="AI231" s="10">
        <f>Podsumowanie!E$2-SUM(AK$5:AK230)+SUM(R$42:R231)-SUM(S$42:S231)</f>
        <v>222840.99999999977</v>
      </c>
      <c r="AJ231" s="10">
        <f t="shared" si="383"/>
        <v>79.85</v>
      </c>
      <c r="AK231" s="10">
        <f t="shared" si="384"/>
        <v>1114.21</v>
      </c>
      <c r="AL231" s="10">
        <f t="shared" si="385"/>
        <v>1194.06</v>
      </c>
      <c r="AM231" s="10">
        <f t="shared" si="386"/>
        <v>1135.81</v>
      </c>
      <c r="AO231" s="43">
        <f t="shared" si="387"/>
        <v>44136</v>
      </c>
      <c r="AP231" s="11">
        <f>AP$5+SUM(AS$5:AS230)-SUM(X$5:X231)+SUM(W$5:W231)</f>
        <v>105692.54503044074</v>
      </c>
      <c r="AQ231" s="10">
        <f t="shared" si="388"/>
        <v>-37.873161969241266</v>
      </c>
      <c r="AR231" s="10">
        <f>IF(AB231=1,IF(Q231="tak",AQ231,PMT(M231/12,P231+1-SUM(AB$5:AB231),AP231)),0)</f>
        <v>-545.0916020854153</v>
      </c>
      <c r="AS231" s="10">
        <f t="shared" si="389"/>
        <v>-507.218440116174</v>
      </c>
      <c r="AT231" s="10">
        <f t="shared" si="390"/>
        <v>-2277.5562409934905</v>
      </c>
      <c r="AV231" s="11">
        <f>AV$5+SUM(AX$5:AX230)+SUM(W$5:W230)-SUM(X$5:X230)</f>
        <v>98003.78719148571</v>
      </c>
      <c r="AW231" s="11">
        <f t="shared" si="391"/>
        <v>-37.873161969241266</v>
      </c>
      <c r="AX231" s="11">
        <f t="shared" si="392"/>
        <v>-490.02</v>
      </c>
      <c r="AY231" s="11">
        <f t="shared" si="393"/>
        <v>-527.8931619692412</v>
      </c>
      <c r="AZ231" s="11">
        <f t="shared" si="394"/>
        <v>-2205.6959986560805</v>
      </c>
      <c r="BB231" s="191">
        <f t="shared" si="259"/>
        <v>0.0022</v>
      </c>
      <c r="BC231" s="44">
        <f>BB231+Podsumowanie!$E$6</f>
        <v>0.0142</v>
      </c>
      <c r="BD231" s="11">
        <f>BD$5+SUM(BE$5:BE230)+SUM(R$5:R230)-SUM(S$5:S230)</f>
        <v>280161.39730134234</v>
      </c>
      <c r="BE231" s="10">
        <f t="shared" si="395"/>
        <v>-1235.4611892911294</v>
      </c>
      <c r="BF231" s="10">
        <f t="shared" si="396"/>
        <v>-331.52432013992177</v>
      </c>
      <c r="BG231" s="10">
        <f>IF(U231&lt;0,PMT(BC231/12,Podsumowanie!E$8-SUM(AB$5:AB231)+1,BD231),0)</f>
        <v>-1566.9855094310512</v>
      </c>
      <c r="BI231" s="11">
        <f>BI$5+SUM(BK$5:BK230)+SUM(R$5:R230)-SUM(S$5:S230)</f>
        <v>222841.22562674116</v>
      </c>
      <c r="BJ231" s="11">
        <f t="shared" si="213"/>
        <v>-263.69545032497706</v>
      </c>
      <c r="BK231" s="11">
        <f t="shared" si="214"/>
        <v>-1114.2061281337058</v>
      </c>
      <c r="BL231" s="11">
        <f t="shared" si="188"/>
        <v>-1377.9015784586827</v>
      </c>
      <c r="BN231" s="44">
        <f t="shared" si="260"/>
        <v>0.0143</v>
      </c>
      <c r="BO231" s="11">
        <f>BO$5+SUM(BP$5:BP230)+SUM(R$5:R230)-SUM(S$5:S230)+SUM(BS$5:BS230)</f>
        <v>278553.3036504082</v>
      </c>
      <c r="BP231" s="10">
        <f t="shared" si="269"/>
        <v>-1227.3070063880643</v>
      </c>
      <c r="BQ231" s="10">
        <f t="shared" si="270"/>
        <v>-331.94268685006983</v>
      </c>
      <c r="BR231" s="10">
        <f>IF(U231&lt;0,PMT(BN231/12,Podsumowanie!E$8-SUM(AB$5:AB231)+1,BO231),0)</f>
        <v>-1559.2496932381341</v>
      </c>
      <c r="BS231" s="10">
        <f t="shared" si="264"/>
        <v>-859.1863152394894</v>
      </c>
      <c r="BU231" s="11">
        <f>BU$5+SUM(BW$5:BW230)+SUM(R$5:R230)-SUM(S$5:S230)+SUM(BY$5,BY230)</f>
        <v>221795.73994374534</v>
      </c>
      <c r="BV231" s="10">
        <f t="shared" si="261"/>
        <v>-264.3065900996299</v>
      </c>
      <c r="BW231" s="10">
        <f t="shared" si="262"/>
        <v>-1108.9786997187266</v>
      </c>
      <c r="BX231" s="10">
        <f t="shared" si="271"/>
        <v>-1373.2852898183564</v>
      </c>
      <c r="BY231" s="10">
        <f t="shared" si="272"/>
        <v>-1045.150718659267</v>
      </c>
      <c r="CA231" s="10">
        <f>CA$5+SUM(CB$5:CB230)+SUM(R$5:R230)-SUM(S$5:S230)-SUM(CC$5:CC230)</f>
        <v>247669.70768942783</v>
      </c>
      <c r="CB231" s="10">
        <f t="shared" si="265"/>
        <v>264.3065900996299</v>
      </c>
      <c r="CC231" s="10">
        <f t="shared" si="266"/>
        <v>2418.4360084776235</v>
      </c>
      <c r="CD231" s="10">
        <f t="shared" si="267"/>
        <v>2154.1294183779937</v>
      </c>
      <c r="CF231" s="44">
        <f t="shared" si="263"/>
        <v>0.3413</v>
      </c>
      <c r="CG231" s="10">
        <f t="shared" si="268"/>
        <v>-825.41</v>
      </c>
      <c r="CH231" s="4">
        <f t="shared" si="273"/>
        <v>0</v>
      </c>
    </row>
    <row r="232" spans="1:86" ht="15.75">
      <c r="A232" s="36"/>
      <c r="B232" s="37">
        <v>44166</v>
      </c>
      <c r="C232" s="77">
        <f t="shared" si="257"/>
        <v>4.1383</v>
      </c>
      <c r="D232" s="79">
        <f>C232*(1+Podsumowanie!E$11)</f>
        <v>4.262449</v>
      </c>
      <c r="E232" s="34">
        <f t="shared" si="370"/>
        <v>-561.9501052426962</v>
      </c>
      <c r="F232" s="7">
        <f t="shared" si="371"/>
        <v>-2395.283664141625</v>
      </c>
      <c r="G232" s="7">
        <f t="shared" si="372"/>
        <v>-1239.429284821817</v>
      </c>
      <c r="H232" s="7">
        <f t="shared" si="373"/>
        <v>1155.8543793198082</v>
      </c>
      <c r="I232" s="32"/>
      <c r="K232" s="4">
        <f>IF(B232&lt;Podsumowanie!E$7,0,K231+1)</f>
        <v>162</v>
      </c>
      <c r="L232" s="100">
        <f t="shared" si="258"/>
        <v>-0.0077</v>
      </c>
      <c r="M232" s="38">
        <f>L232+Podsumowanie!E$6</f>
        <v>0.0043</v>
      </c>
      <c r="N232" s="101">
        <f>MAX(Podsumowanie!E$4+SUM(AA$5:AA231)-SUM(X$5:X232)+SUM(W$5:W232),0)</f>
        <v>108438.48102095316</v>
      </c>
      <c r="O232" s="102">
        <f>MAX(Podsumowanie!E$2+SUM(V$5:V231)-SUM(S$5:S232)+SUM(R$5:R232),0)</f>
        <v>239170.39560107994</v>
      </c>
      <c r="P232" s="39">
        <f t="shared" si="189"/>
        <v>360</v>
      </c>
      <c r="Q232" s="40" t="str">
        <f>IF(AND(K232&gt;0,K232&lt;=Podsumowanie!E$9),"tak","nie")</f>
        <v>nie</v>
      </c>
      <c r="R232" s="41"/>
      <c r="S232" s="42"/>
      <c r="T232" s="88">
        <f t="shared" si="374"/>
        <v>-85.70272509038698</v>
      </c>
      <c r="U232" s="89">
        <f>IF(Q232="tak",T232,IF(P232-SUM(AB$5:AB232)+1&gt;0,IF(Podsumowanie!E$7&lt;B232,IF(SUM(AB$5:AB232)-Podsumowanie!E$9+1&gt;0,PMT(M232/12,P232+1-SUM(AB$5:AB232),O232),T232),0),0))</f>
        <v>-1239.429284821817</v>
      </c>
      <c r="V232" s="89">
        <f t="shared" si="375"/>
        <v>-1153.72655973143</v>
      </c>
      <c r="W232" s="90" t="str">
        <f>IF(R232&gt;0,R232/(C232*(1-Podsumowanie!E$11))," ")</f>
        <v xml:space="preserve"> </v>
      </c>
      <c r="X232" s="90" t="str">
        <f t="shared" si="376"/>
        <v xml:space="preserve"> </v>
      </c>
      <c r="Y232" s="91">
        <f t="shared" si="377"/>
        <v>-38.85712236584155</v>
      </c>
      <c r="Z232" s="90">
        <f>IF(P232-SUM(AB$5:AB232)+1&gt;0,IF(Podsumowanie!E$7&lt;B232,IF(SUM(AB$5:AB232)-Podsumowanie!E$9+1&gt;0,PMT(M232/12,P232+1-SUM(AB$5:AB232),N232),Y232),0),0)</f>
        <v>-561.9501052426962</v>
      </c>
      <c r="AA232" s="90">
        <f t="shared" si="378"/>
        <v>-523.0929828768546</v>
      </c>
      <c r="AB232" s="8">
        <f>IF(AND(Podsumowanie!E$7&lt;B232,SUM(AB$5:AB231)&lt;P231),1," ")</f>
        <v>1</v>
      </c>
      <c r="AD232" s="10">
        <f>Podsumowanie!E$4-SUM(AF$5:AF231)+SUM(W$42:W232)-SUM(X$42:X232)</f>
        <v>100529.8281355524</v>
      </c>
      <c r="AE232" s="10">
        <f t="shared" si="379"/>
        <v>36.02</v>
      </c>
      <c r="AF232" s="10">
        <f t="shared" si="380"/>
        <v>505.18</v>
      </c>
      <c r="AG232" s="10">
        <f t="shared" si="381"/>
        <v>541.2</v>
      </c>
      <c r="AH232" s="10">
        <f t="shared" si="382"/>
        <v>2306.84</v>
      </c>
      <c r="AI232" s="10">
        <f>Podsumowanie!E$2-SUM(AK$5:AK231)+SUM(R$42:R232)-SUM(S$42:S232)</f>
        <v>221726.78999999978</v>
      </c>
      <c r="AJ232" s="10">
        <f t="shared" si="383"/>
        <v>79.45</v>
      </c>
      <c r="AK232" s="10">
        <f t="shared" si="384"/>
        <v>1114.2</v>
      </c>
      <c r="AL232" s="10">
        <f t="shared" si="385"/>
        <v>1193.65</v>
      </c>
      <c r="AM232" s="10">
        <f t="shared" si="386"/>
        <v>1113.19</v>
      </c>
      <c r="AO232" s="43">
        <f t="shared" si="387"/>
        <v>44166</v>
      </c>
      <c r="AP232" s="11">
        <f>AP$5+SUM(AS$5:AS231)-SUM(X$5:X232)+SUM(W$5:W232)</f>
        <v>105185.32659032456</v>
      </c>
      <c r="AQ232" s="10">
        <f t="shared" si="388"/>
        <v>-37.691408694866304</v>
      </c>
      <c r="AR232" s="10">
        <f>IF(AB232=1,IF(Q232="tak",AQ232,PMT(M232/12,P232+1-SUM(AB$5:AB232),AP232)),0)</f>
        <v>-545.0916020854153</v>
      </c>
      <c r="AS232" s="10">
        <f t="shared" si="389"/>
        <v>-507.40019339054896</v>
      </c>
      <c r="AT232" s="10">
        <f t="shared" si="390"/>
        <v>-2255.752576910074</v>
      </c>
      <c r="AV232" s="11">
        <f>AV$5+SUM(AX$5:AX231)+SUM(W$5:W231)-SUM(X$5:X231)</f>
        <v>97513.7671914857</v>
      </c>
      <c r="AW232" s="11">
        <f t="shared" si="391"/>
        <v>-37.691408694866304</v>
      </c>
      <c r="AX232" s="11">
        <f t="shared" si="392"/>
        <v>-490.02</v>
      </c>
      <c r="AY232" s="11">
        <f t="shared" si="393"/>
        <v>-527.7114086948662</v>
      </c>
      <c r="AZ232" s="11">
        <f t="shared" si="394"/>
        <v>-2183.828122601965</v>
      </c>
      <c r="BB232" s="191">
        <f t="shared" si="259"/>
        <v>0.0021</v>
      </c>
      <c r="BC232" s="44">
        <f>BB232+Podsumowanie!$E$6</f>
        <v>0.0141</v>
      </c>
      <c r="BD232" s="11">
        <f>BD$5+SUM(BE$5:BE231)+SUM(R$5:R231)-SUM(S$5:S231)</f>
        <v>278925.9361120512</v>
      </c>
      <c r="BE232" s="10">
        <f t="shared" si="395"/>
        <v>-1237.9884226489996</v>
      </c>
      <c r="BF232" s="10">
        <f t="shared" si="396"/>
        <v>-327.7379749316602</v>
      </c>
      <c r="BG232" s="10">
        <f>IF(U232&lt;0,PMT(BC232/12,Podsumowanie!E$8-SUM(AB$5:AB232)+1,BD232),0)</f>
        <v>-1565.7263975806598</v>
      </c>
      <c r="BI232" s="11">
        <f>BI$5+SUM(BK$5:BK231)+SUM(R$5:R231)-SUM(S$5:S231)</f>
        <v>221727.01949860746</v>
      </c>
      <c r="BJ232" s="11">
        <f t="shared" si="213"/>
        <v>-260.5292479108638</v>
      </c>
      <c r="BK232" s="11">
        <f t="shared" si="214"/>
        <v>-1114.2061281337058</v>
      </c>
      <c r="BL232" s="11">
        <f t="shared" si="188"/>
        <v>-1374.7353760445694</v>
      </c>
      <c r="BN232" s="44">
        <f t="shared" si="260"/>
        <v>0.014199999999999999</v>
      </c>
      <c r="BO232" s="11">
        <f>BO$5+SUM(BP$5:BP231)+SUM(R$5:R231)-SUM(S$5:S231)+SUM(BS$5:BS231)</f>
        <v>276466.8103287806</v>
      </c>
      <c r="BP232" s="10">
        <f t="shared" si="269"/>
        <v>-1226.0179284099204</v>
      </c>
      <c r="BQ232" s="10">
        <f t="shared" si="270"/>
        <v>-327.15239222239035</v>
      </c>
      <c r="BR232" s="10">
        <f>IF(U232&lt;0,PMT(BN232/12,Podsumowanie!E$8-SUM(AB$5:AB232)+1,BO232),0)</f>
        <v>-1553.1703206323107</v>
      </c>
      <c r="BS232" s="10">
        <f t="shared" si="264"/>
        <v>-842.1133435093145</v>
      </c>
      <c r="BU232" s="11">
        <f>BU$5+SUM(BW$5:BW231)+SUM(R$5:R231)-SUM(S$5:S231)+SUM(BY$5,BY231)</f>
        <v>220714.1530837322</v>
      </c>
      <c r="BV232" s="10">
        <f t="shared" si="261"/>
        <v>-261.17841448241643</v>
      </c>
      <c r="BW232" s="10">
        <f t="shared" si="262"/>
        <v>-1109.1163471544332</v>
      </c>
      <c r="BX232" s="10">
        <f t="shared" si="271"/>
        <v>-1370.2947616368497</v>
      </c>
      <c r="BY232" s="10">
        <f t="shared" si="272"/>
        <v>-1024.9889025047755</v>
      </c>
      <c r="CA232" s="10">
        <f>CA$5+SUM(CB$5:CB231)+SUM(R$5:R231)-SUM(S$5:S231)-SUM(CC$5:CC231)</f>
        <v>245515.57827104977</v>
      </c>
      <c r="CB232" s="10">
        <f t="shared" si="265"/>
        <v>261.17841448241643</v>
      </c>
      <c r="CC232" s="10">
        <f t="shared" si="266"/>
        <v>2395.283664141625</v>
      </c>
      <c r="CD232" s="10">
        <f t="shared" si="267"/>
        <v>2134.1052496592088</v>
      </c>
      <c r="CF232" s="44">
        <f t="shared" si="263"/>
        <v>0.34</v>
      </c>
      <c r="CG232" s="10">
        <f t="shared" si="268"/>
        <v>-814.4</v>
      </c>
      <c r="CH232" s="4">
        <f t="shared" si="273"/>
        <v>0</v>
      </c>
    </row>
    <row r="233" spans="1:86" ht="15.75">
      <c r="A233" s="36">
        <v>2021</v>
      </c>
      <c r="B233" s="37">
        <v>44197</v>
      </c>
      <c r="C233" s="77">
        <f t="shared" si="257"/>
        <v>4.209</v>
      </c>
      <c r="D233" s="79">
        <f>C233*(1+Podsumowanie!E$11)</f>
        <v>4.3352699999999995</v>
      </c>
      <c r="E233" s="34">
        <f t="shared" si="370"/>
        <v>-561.950105242696</v>
      </c>
      <c r="F233" s="7">
        <f t="shared" si="371"/>
        <v>-2436.2054327555024</v>
      </c>
      <c r="G233" s="7">
        <f t="shared" si="372"/>
        <v>-1239.4292848218167</v>
      </c>
      <c r="H233" s="7">
        <f t="shared" si="373"/>
        <v>1196.7761479336857</v>
      </c>
      <c r="I233" s="32"/>
      <c r="K233" s="4">
        <f>IF(B233&lt;Podsumowanie!E$7,0,K232+1)</f>
        <v>163</v>
      </c>
      <c r="L233" s="100">
        <f t="shared" si="258"/>
        <v>-0.0077</v>
      </c>
      <c r="M233" s="38">
        <f>L233+Podsumowanie!E$6</f>
        <v>0.0043</v>
      </c>
      <c r="N233" s="101">
        <f>MAX(Podsumowanie!E$4+SUM(AA$5:AA232)-SUM(X$5:X233)+SUM(W$5:W233),0)</f>
        <v>107915.3880380763</v>
      </c>
      <c r="O233" s="102">
        <f>MAX(Podsumowanie!E$2+SUM(V$5:V232)-SUM(S$5:S233)+SUM(R$5:R233),0)</f>
        <v>238016.6690413485</v>
      </c>
      <c r="P233" s="39">
        <f t="shared" si="189"/>
        <v>360</v>
      </c>
      <c r="Q233" s="40" t="str">
        <f>IF(AND(K233&gt;0,K233&lt;=Podsumowanie!E$9),"tak","nie")</f>
        <v>nie</v>
      </c>
      <c r="R233" s="41"/>
      <c r="S233" s="42"/>
      <c r="T233" s="88">
        <f t="shared" si="374"/>
        <v>-85.28930640648322</v>
      </c>
      <c r="U233" s="89">
        <f>IF(Q233="tak",T233,IF(P233-SUM(AB$5:AB233)+1&gt;0,IF(Podsumowanie!E$7&lt;B233,IF(SUM(AB$5:AB233)-Podsumowanie!E$9+1&gt;0,PMT(M233/12,P233+1-SUM(AB$5:AB233),O233),T233),0),0))</f>
        <v>-1239.4292848218167</v>
      </c>
      <c r="V233" s="89">
        <f t="shared" si="375"/>
        <v>-1154.1399784153334</v>
      </c>
      <c r="W233" s="90" t="str">
        <f>IF(R233&gt;0,R233/(C233*(1-Podsumowanie!E$11))," ")</f>
        <v xml:space="preserve"> </v>
      </c>
      <c r="X233" s="90" t="str">
        <f t="shared" si="376"/>
        <v xml:space="preserve"> </v>
      </c>
      <c r="Y233" s="91">
        <f t="shared" si="377"/>
        <v>-38.669680713644006</v>
      </c>
      <c r="Z233" s="90">
        <f>IF(P233-SUM(AB$5:AB233)+1&gt;0,IF(Podsumowanie!E$7&lt;B233,IF(SUM(AB$5:AB233)-Podsumowanie!E$9+1&gt;0,PMT(M233/12,P233+1-SUM(AB$5:AB233),N233),Y233),0),0)</f>
        <v>-561.950105242696</v>
      </c>
      <c r="AA233" s="90">
        <f t="shared" si="378"/>
        <v>-523.2804245290521</v>
      </c>
      <c r="AB233" s="8">
        <f>IF(AND(Podsumowanie!E$7&lt;B233,SUM(AB$5:AB232)&lt;P232),1," ")</f>
        <v>1</v>
      </c>
      <c r="AD233" s="10">
        <f>Podsumowanie!E$4-SUM(AF$5:AF232)+SUM(W$42:W233)-SUM(X$42:X233)</f>
        <v>100024.6481355524</v>
      </c>
      <c r="AE233" s="10">
        <f t="shared" si="379"/>
        <v>35.84</v>
      </c>
      <c r="AF233" s="10">
        <f t="shared" si="380"/>
        <v>505.17</v>
      </c>
      <c r="AG233" s="10">
        <f t="shared" si="381"/>
        <v>541.01</v>
      </c>
      <c r="AH233" s="10">
        <f t="shared" si="382"/>
        <v>2345.42</v>
      </c>
      <c r="AI233" s="10">
        <f>Podsumowanie!E$2-SUM(AK$5:AK232)+SUM(R$42:R233)-SUM(S$42:S233)</f>
        <v>220612.58999999976</v>
      </c>
      <c r="AJ233" s="10">
        <f t="shared" si="383"/>
        <v>79.05</v>
      </c>
      <c r="AK233" s="10">
        <f t="shared" si="384"/>
        <v>1114.21</v>
      </c>
      <c r="AL233" s="10">
        <f t="shared" si="385"/>
        <v>1193.26</v>
      </c>
      <c r="AM233" s="10">
        <f t="shared" si="386"/>
        <v>1152.16</v>
      </c>
      <c r="AO233" s="43">
        <f t="shared" si="387"/>
        <v>44197</v>
      </c>
      <c r="AP233" s="11">
        <f>AP$5+SUM(AS$5:AS232)-SUM(X$5:X233)+SUM(W$5:W233)</f>
        <v>104677.92639693401</v>
      </c>
      <c r="AQ233" s="10">
        <f t="shared" si="388"/>
        <v>-37.509590292234684</v>
      </c>
      <c r="AR233" s="10">
        <f>IF(AB233=1,IF(Q233="tak",AQ233,PMT(M233/12,P233+1-SUM(AB$5:AB233),AP233)),0)</f>
        <v>-545.0916020854152</v>
      </c>
      <c r="AS233" s="10">
        <f t="shared" si="389"/>
        <v>-507.58201179318047</v>
      </c>
      <c r="AT233" s="10">
        <f t="shared" si="390"/>
        <v>-2294.2905531775123</v>
      </c>
      <c r="AV233" s="11">
        <f>AV$5+SUM(AX$5:AX232)+SUM(W$5:W232)-SUM(X$5:X232)</f>
        <v>97023.7471914857</v>
      </c>
      <c r="AW233" s="11">
        <f t="shared" si="391"/>
        <v>-37.509590292234684</v>
      </c>
      <c r="AX233" s="11">
        <f t="shared" si="392"/>
        <v>-490.02</v>
      </c>
      <c r="AY233" s="11">
        <f t="shared" si="393"/>
        <v>-527.5295902922346</v>
      </c>
      <c r="AZ233" s="11">
        <f t="shared" si="394"/>
        <v>-2220.3720455400153</v>
      </c>
      <c r="BB233" s="191">
        <f t="shared" si="259"/>
        <v>0.0021</v>
      </c>
      <c r="BC233" s="44">
        <f>BB233+Podsumowanie!$E$6</f>
        <v>0.0141</v>
      </c>
      <c r="BD233" s="11">
        <f>BD$5+SUM(BE$5:BE232)+SUM(R$5:R232)-SUM(S$5:S232)</f>
        <v>277687.94768940215</v>
      </c>
      <c r="BE233" s="10">
        <f t="shared" si="395"/>
        <v>-1239.443059045612</v>
      </c>
      <c r="BF233" s="10">
        <f t="shared" si="396"/>
        <v>-326.2833385350475</v>
      </c>
      <c r="BG233" s="10">
        <f>IF(U233&lt;0,PMT(BC233/12,Podsumowanie!E$8-SUM(AB$5:AB233)+1,BD233),0)</f>
        <v>-1565.7263975806595</v>
      </c>
      <c r="BI233" s="11">
        <f>BI$5+SUM(BK$5:BK232)+SUM(R$5:R232)-SUM(S$5:S232)</f>
        <v>220612.81337047377</v>
      </c>
      <c r="BJ233" s="11">
        <f t="shared" si="213"/>
        <v>-259.22005571030667</v>
      </c>
      <c r="BK233" s="11">
        <f t="shared" si="214"/>
        <v>-1114.206128133706</v>
      </c>
      <c r="BL233" s="11">
        <f aca="true" t="shared" si="397" ref="BL233:BL239">BK233+BJ233</f>
        <v>-1373.4261838440127</v>
      </c>
      <c r="BN233" s="44">
        <f t="shared" si="260"/>
        <v>0.014199999999999999</v>
      </c>
      <c r="BO233" s="11">
        <f>BO$5+SUM(BP$5:BP232)+SUM(R$5:R232)-SUM(S$5:S232)+SUM(BS$5:BS232)</f>
        <v>274398.6790568614</v>
      </c>
      <c r="BP233" s="10">
        <f t="shared" si="269"/>
        <v>-1223.7132126991269</v>
      </c>
      <c r="BQ233" s="10">
        <f t="shared" si="270"/>
        <v>-324.7051035506193</v>
      </c>
      <c r="BR233" s="10">
        <f>IF(U233&lt;0,PMT(BN233/12,Podsumowanie!E$8-SUM(AB$5:AB233)+1,BO233),0)</f>
        <v>-1548.418316249746</v>
      </c>
      <c r="BS233" s="10">
        <f t="shared" si="264"/>
        <v>-887.7871165057563</v>
      </c>
      <c r="BU233" s="11">
        <f>BU$5+SUM(BW$5:BW232)+SUM(R$5:R232)-SUM(S$5:S232)+SUM(BY$5,BY232)</f>
        <v>219625.19855273227</v>
      </c>
      <c r="BV233" s="10">
        <f t="shared" si="261"/>
        <v>-259.8898182873998</v>
      </c>
      <c r="BW233" s="10">
        <f t="shared" si="262"/>
        <v>-1109.218174508749</v>
      </c>
      <c r="BX233" s="10">
        <f t="shared" si="271"/>
        <v>-1369.1079927961487</v>
      </c>
      <c r="BY233" s="10">
        <f t="shared" si="272"/>
        <v>-1067.0974399593538</v>
      </c>
      <c r="CA233" s="10">
        <f>CA$5+SUM(CB$5:CB232)+SUM(R$5:R232)-SUM(S$5:S232)-SUM(CC$5:CC232)</f>
        <v>243381.47302139056</v>
      </c>
      <c r="CB233" s="10">
        <f t="shared" si="265"/>
        <v>259.8898182873998</v>
      </c>
      <c r="CC233" s="10">
        <f t="shared" si="266"/>
        <v>2436.2054327555024</v>
      </c>
      <c r="CD233" s="10">
        <f t="shared" si="267"/>
        <v>2176.3156144681025</v>
      </c>
      <c r="CF233" s="44">
        <f t="shared" si="263"/>
        <v>0.3228</v>
      </c>
      <c r="CG233" s="10">
        <f t="shared" si="268"/>
        <v>-786.41</v>
      </c>
      <c r="CH233" s="4">
        <f t="shared" si="273"/>
        <v>0</v>
      </c>
    </row>
    <row r="234" spans="1:86" ht="15.75">
      <c r="A234" s="36"/>
      <c r="B234" s="37">
        <v>44228</v>
      </c>
      <c r="C234" s="77">
        <f t="shared" si="257"/>
        <v>4.1442</v>
      </c>
      <c r="D234" s="79">
        <f>C234*(1+Podsumowanie!E$11)</f>
        <v>4.268526</v>
      </c>
      <c r="E234" s="34">
        <f t="shared" si="370"/>
        <v>-561.950105242696</v>
      </c>
      <c r="F234" s="7">
        <f t="shared" si="371"/>
        <v>-2398.698634931184</v>
      </c>
      <c r="G234" s="7">
        <f t="shared" si="372"/>
        <v>-1239.4292848218167</v>
      </c>
      <c r="H234" s="7">
        <f t="shared" si="373"/>
        <v>1159.2693501093675</v>
      </c>
      <c r="I234" s="32"/>
      <c r="K234" s="4">
        <f>IF(B234&lt;Podsumowanie!E$7,0,K233+1)</f>
        <v>164</v>
      </c>
      <c r="L234" s="100">
        <f t="shared" si="258"/>
        <v>-0.0077</v>
      </c>
      <c r="M234" s="38">
        <f>L234+Podsumowanie!E$6</f>
        <v>0.0043</v>
      </c>
      <c r="N234" s="101">
        <f>MAX(Podsumowanie!E$4+SUM(AA$5:AA233)-SUM(X$5:X234)+SUM(W$5:W234),0)</f>
        <v>107392.10761354725</v>
      </c>
      <c r="O234" s="102">
        <f>MAX(Podsumowanie!E$2+SUM(V$5:V233)-SUM(S$5:S234)+SUM(R$5:R234),0)</f>
        <v>236862.52906293317</v>
      </c>
      <c r="P234" s="39">
        <f t="shared" si="189"/>
        <v>360</v>
      </c>
      <c r="Q234" s="40" t="str">
        <f>IF(AND(K234&gt;0,K234&lt;=Podsumowanie!E$9),"tak","nie")</f>
        <v>nie</v>
      </c>
      <c r="R234" s="41"/>
      <c r="S234" s="42"/>
      <c r="T234" s="88">
        <f t="shared" si="374"/>
        <v>-84.87573958088439</v>
      </c>
      <c r="U234" s="89">
        <f>IF(Q234="tak",T234,IF(P234-SUM(AB$5:AB234)+1&gt;0,IF(Podsumowanie!E$7&lt;B234,IF(SUM(AB$5:AB234)-Podsumowanie!E$9+1&gt;0,PMT(M234/12,P234+1-SUM(AB$5:AB234),O234),T234),0),0))</f>
        <v>-1239.4292848218167</v>
      </c>
      <c r="V234" s="89">
        <f t="shared" si="375"/>
        <v>-1154.5535452409324</v>
      </c>
      <c r="W234" s="90" t="str">
        <f>IF(R234&gt;0,R234/(C234*(1-Podsumowanie!E$11))," ")</f>
        <v xml:space="preserve"> </v>
      </c>
      <c r="X234" s="90" t="str">
        <f t="shared" si="376"/>
        <v xml:space="preserve"> </v>
      </c>
      <c r="Y234" s="91">
        <f t="shared" si="377"/>
        <v>-38.48217189485443</v>
      </c>
      <c r="Z234" s="90">
        <f>IF(P234-SUM(AB$5:AB234)+1&gt;0,IF(Podsumowanie!E$7&lt;B234,IF(SUM(AB$5:AB234)-Podsumowanie!E$9+1&gt;0,PMT(M234/12,P234+1-SUM(AB$5:AB234),N234),Y234),0),0)</f>
        <v>-561.950105242696</v>
      </c>
      <c r="AA234" s="90">
        <f t="shared" si="378"/>
        <v>-523.4679333478416</v>
      </c>
      <c r="AB234" s="8">
        <f>IF(AND(Podsumowanie!E$7&lt;B234,SUM(AB$5:AB233)&lt;P233),1," ")</f>
        <v>1</v>
      </c>
      <c r="AD234" s="10">
        <f>Podsumowanie!E$4-SUM(AF$5:AF233)+SUM(W$42:W234)-SUM(X$42:X234)</f>
        <v>99519.4781355524</v>
      </c>
      <c r="AE234" s="10">
        <f t="shared" si="379"/>
        <v>35.66</v>
      </c>
      <c r="AF234" s="10">
        <f t="shared" si="380"/>
        <v>505.18</v>
      </c>
      <c r="AG234" s="10">
        <f t="shared" si="381"/>
        <v>540.84</v>
      </c>
      <c r="AH234" s="10">
        <f t="shared" si="382"/>
        <v>2308.59</v>
      </c>
      <c r="AI234" s="10">
        <f>Podsumowanie!E$2-SUM(AK$5:AK233)+SUM(R$42:R234)-SUM(S$42:S234)</f>
        <v>219498.37999999977</v>
      </c>
      <c r="AJ234" s="10">
        <f t="shared" si="383"/>
        <v>78.65</v>
      </c>
      <c r="AK234" s="10">
        <f t="shared" si="384"/>
        <v>1114.2</v>
      </c>
      <c r="AL234" s="10">
        <f t="shared" si="385"/>
        <v>1192.8500000000001</v>
      </c>
      <c r="AM234" s="10">
        <f t="shared" si="386"/>
        <v>1115.74</v>
      </c>
      <c r="AO234" s="43">
        <f t="shared" si="387"/>
        <v>44228</v>
      </c>
      <c r="AP234" s="11">
        <f>AP$5+SUM(AS$5:AS233)-SUM(X$5:X234)+SUM(W$5:W234)</f>
        <v>104170.34438514082</v>
      </c>
      <c r="AQ234" s="10">
        <f t="shared" si="388"/>
        <v>-37.32770673800879</v>
      </c>
      <c r="AR234" s="10">
        <f>IF(AB234=1,IF(Q234="tak",AQ234,PMT(M234/12,P234+1-SUM(AB$5:AB234),AP234)),0)</f>
        <v>-545.0916020854152</v>
      </c>
      <c r="AS234" s="10">
        <f t="shared" si="389"/>
        <v>-507.7638953474064</v>
      </c>
      <c r="AT234" s="10">
        <f t="shared" si="390"/>
        <v>-2258.9686173623772</v>
      </c>
      <c r="AV234" s="11">
        <f>AV$5+SUM(AX$5:AX233)+SUM(W$5:W233)-SUM(X$5:X233)</f>
        <v>96533.7271914857</v>
      </c>
      <c r="AW234" s="11">
        <f t="shared" si="391"/>
        <v>-37.32770673800879</v>
      </c>
      <c r="AX234" s="11">
        <f t="shared" si="392"/>
        <v>-490.02</v>
      </c>
      <c r="AY234" s="11">
        <f t="shared" si="393"/>
        <v>-527.3477067380088</v>
      </c>
      <c r="AZ234" s="11">
        <f t="shared" si="394"/>
        <v>-2185.434366263656</v>
      </c>
      <c r="BB234" s="191">
        <f t="shared" si="259"/>
        <v>0.0021</v>
      </c>
      <c r="BC234" s="44">
        <f>BB234+Podsumowanie!$E$6</f>
        <v>0.0141</v>
      </c>
      <c r="BD234" s="11">
        <f>BD$5+SUM(BE$5:BE233)+SUM(R$5:R233)-SUM(S$5:S233)</f>
        <v>276448.50463035656</v>
      </c>
      <c r="BE234" s="10">
        <f t="shared" si="395"/>
        <v>-1240.8994046399905</v>
      </c>
      <c r="BF234" s="10">
        <f t="shared" si="396"/>
        <v>-324.82699294066896</v>
      </c>
      <c r="BG234" s="10">
        <f>IF(U234&lt;0,PMT(BC234/12,Podsumowanie!E$8-SUM(AB$5:AB234)+1,BD234),0)</f>
        <v>-1565.7263975806595</v>
      </c>
      <c r="BI234" s="11">
        <f>BI$5+SUM(BK$5:BK233)+SUM(R$5:R233)-SUM(S$5:S233)</f>
        <v>219498.60724234008</v>
      </c>
      <c r="BJ234" s="11">
        <f t="shared" si="213"/>
        <v>-257.9108635097496</v>
      </c>
      <c r="BK234" s="11">
        <f t="shared" si="214"/>
        <v>-1114.206128133706</v>
      </c>
      <c r="BL234" s="11">
        <f t="shared" si="397"/>
        <v>-1372.1169916434555</v>
      </c>
      <c r="BN234" s="44">
        <f t="shared" si="260"/>
        <v>0.014199999999999999</v>
      </c>
      <c r="BO234" s="11">
        <f>BO$5+SUM(BP$5:BP233)+SUM(R$5:R233)-SUM(S$5:S233)+SUM(BS$5:BS233)</f>
        <v>272287.17872765654</v>
      </c>
      <c r="BP234" s="10">
        <f t="shared" si="269"/>
        <v>-1221.1796405708935</v>
      </c>
      <c r="BQ234" s="10">
        <f t="shared" si="270"/>
        <v>-322.2064948277269</v>
      </c>
      <c r="BR234" s="10">
        <f>IF(U234&lt;0,PMT(BN234/12,Podsumowanie!E$8-SUM(AB$5:AB234)+1,BO234),0)</f>
        <v>-1543.3861353986204</v>
      </c>
      <c r="BS234" s="10">
        <f t="shared" si="264"/>
        <v>-855.3124995325638</v>
      </c>
      <c r="BU234" s="11">
        <f>BU$5+SUM(BW$5:BW233)+SUM(R$5:R233)-SUM(S$5:S233)+SUM(BY$5,BY233)</f>
        <v>218473.87184076896</v>
      </c>
      <c r="BV234" s="10">
        <f t="shared" si="261"/>
        <v>-258.5274150115766</v>
      </c>
      <c r="BW234" s="10">
        <f t="shared" si="262"/>
        <v>-1109.0044255876596</v>
      </c>
      <c r="BX234" s="10">
        <f t="shared" si="271"/>
        <v>-1367.5318405992361</v>
      </c>
      <c r="BY234" s="10">
        <f t="shared" si="272"/>
        <v>-1031.166794331948</v>
      </c>
      <c r="CA234" s="10">
        <f>CA$5+SUM(CB$5:CB233)+SUM(R$5:R233)-SUM(S$5:S233)-SUM(CC$5:CC233)</f>
        <v>241205.1574069225</v>
      </c>
      <c r="CB234" s="10">
        <f t="shared" si="265"/>
        <v>258.5274150115766</v>
      </c>
      <c r="CC234" s="10">
        <f t="shared" si="266"/>
        <v>2398.698634931184</v>
      </c>
      <c r="CD234" s="10">
        <f t="shared" si="267"/>
        <v>2140.1712199196077</v>
      </c>
      <c r="CF234" s="44">
        <f t="shared" si="263"/>
        <v>0.3162</v>
      </c>
      <c r="CG234" s="10">
        <f t="shared" si="268"/>
        <v>-758.47</v>
      </c>
      <c r="CH234" s="4">
        <f t="shared" si="273"/>
        <v>0</v>
      </c>
    </row>
    <row r="235" spans="1:86" ht="15.75">
      <c r="A235" s="36"/>
      <c r="B235" s="37">
        <v>44256</v>
      </c>
      <c r="C235" s="77">
        <f t="shared" si="257"/>
        <v>4.1573</v>
      </c>
      <c r="D235" s="79">
        <f>C235*(1+Podsumowanie!E$11)</f>
        <v>4.282019</v>
      </c>
      <c r="E235" s="34">
        <f t="shared" si="370"/>
        <v>-561.9501052426962</v>
      </c>
      <c r="F235" s="7">
        <f t="shared" si="371"/>
        <v>-2406.2810277012245</v>
      </c>
      <c r="G235" s="7">
        <f t="shared" si="372"/>
        <v>-1239.429284821817</v>
      </c>
      <c r="H235" s="7">
        <f t="shared" si="373"/>
        <v>1166.8517428794075</v>
      </c>
      <c r="I235" s="32"/>
      <c r="K235" s="4">
        <f>IF(B235&lt;Podsumowanie!E$7,0,K234+1)</f>
        <v>165</v>
      </c>
      <c r="L235" s="100">
        <f t="shared" si="258"/>
        <v>-0.0077</v>
      </c>
      <c r="M235" s="38">
        <f>L235+Podsumowanie!E$6</f>
        <v>0.0043</v>
      </c>
      <c r="N235" s="101">
        <f>MAX(Podsumowanie!E$4+SUM(AA$5:AA234)-SUM(X$5:X235)+SUM(W$5:W235),0)</f>
        <v>106868.63968019941</v>
      </c>
      <c r="O235" s="102">
        <f>MAX(Podsumowanie!E$2+SUM(V$5:V234)-SUM(S$5:S235)+SUM(R$5:R235),0)</f>
        <v>235707.97551769225</v>
      </c>
      <c r="P235" s="39">
        <f aca="true" t="shared" si="398" ref="P235:P260">P234</f>
        <v>360</v>
      </c>
      <c r="Q235" s="40" t="str">
        <f>IF(AND(K235&gt;0,K235&lt;=Podsumowanie!E$9),"tak","nie")</f>
        <v>nie</v>
      </c>
      <c r="R235" s="41"/>
      <c r="S235" s="42"/>
      <c r="T235" s="88">
        <f t="shared" si="374"/>
        <v>-84.46202456050639</v>
      </c>
      <c r="U235" s="89">
        <f>IF(Q235="tak",T235,IF(P235-SUM(AB$5:AB235)+1&gt;0,IF(Podsumowanie!E$7&lt;B235,IF(SUM(AB$5:AB235)-Podsumowanie!E$9+1&gt;0,PMT(M235/12,P235+1-SUM(AB$5:AB235),O235),T235),0),0))</f>
        <v>-1239.429284821817</v>
      </c>
      <c r="V235" s="89">
        <f t="shared" si="375"/>
        <v>-1154.9672602613105</v>
      </c>
      <c r="W235" s="90" t="str">
        <f>IF(R235&gt;0,R235/(C235*(1-Podsumowanie!E$11))," ")</f>
        <v xml:space="preserve"> </v>
      </c>
      <c r="X235" s="90" t="str">
        <f t="shared" si="376"/>
        <v xml:space="preserve"> </v>
      </c>
      <c r="Y235" s="91">
        <f t="shared" si="377"/>
        <v>-38.29459588540479</v>
      </c>
      <c r="Z235" s="90">
        <f>IF(P235-SUM(AB$5:AB235)+1&gt;0,IF(Podsumowanie!E$7&lt;B235,IF(SUM(AB$5:AB235)-Podsumowanie!E$9+1&gt;0,PMT(M235/12,P235+1-SUM(AB$5:AB235),N235),Y235),0),0)</f>
        <v>-561.9501052426962</v>
      </c>
      <c r="AA235" s="90">
        <f t="shared" si="378"/>
        <v>-523.6555093572914</v>
      </c>
      <c r="AB235" s="8">
        <f>IF(AND(Podsumowanie!E$7&lt;B235,SUM(AB$5:AB234)&lt;P234),1," ")</f>
        <v>1</v>
      </c>
      <c r="AD235" s="10">
        <f>Podsumowanie!E$4-SUM(AF$5:AF234)+SUM(W$42:W235)-SUM(X$42:X235)</f>
        <v>99014.29813555241</v>
      </c>
      <c r="AE235" s="10">
        <f t="shared" si="379"/>
        <v>35.48</v>
      </c>
      <c r="AF235" s="10">
        <f t="shared" si="380"/>
        <v>505.17</v>
      </c>
      <c r="AG235" s="10">
        <f t="shared" si="381"/>
        <v>540.65</v>
      </c>
      <c r="AH235" s="10">
        <f t="shared" si="382"/>
        <v>2315.07</v>
      </c>
      <c r="AI235" s="10">
        <f>Podsumowanie!E$2-SUM(AK$5:AK234)+SUM(R$42:R235)-SUM(S$42:S235)</f>
        <v>218384.17999999976</v>
      </c>
      <c r="AJ235" s="10">
        <f t="shared" si="383"/>
        <v>78.25</v>
      </c>
      <c r="AK235" s="10">
        <f t="shared" si="384"/>
        <v>1114.21</v>
      </c>
      <c r="AL235" s="10">
        <f t="shared" si="385"/>
        <v>1192.46</v>
      </c>
      <c r="AM235" s="10">
        <f t="shared" si="386"/>
        <v>1122.6100000000001</v>
      </c>
      <c r="AO235" s="43">
        <f t="shared" si="387"/>
        <v>44256</v>
      </c>
      <c r="AP235" s="11">
        <f>AP$5+SUM(AS$5:AS234)-SUM(X$5:X235)+SUM(W$5:W235)</f>
        <v>103662.58048979341</v>
      </c>
      <c r="AQ235" s="10">
        <f t="shared" si="388"/>
        <v>-37.14575800884264</v>
      </c>
      <c r="AR235" s="10">
        <f>IF(AB235=1,IF(Q235="tak",AQ235,PMT(M235/12,P235+1-SUM(AB$5:AB235),AP235)),0)</f>
        <v>-545.0916020854152</v>
      </c>
      <c r="AS235" s="10">
        <f t="shared" si="389"/>
        <v>-507.94584407657254</v>
      </c>
      <c r="AT235" s="10">
        <f t="shared" si="390"/>
        <v>-2266.1093173496965</v>
      </c>
      <c r="AV235" s="11">
        <f>AV$5+SUM(AX$5:AX234)+SUM(W$5:W234)-SUM(X$5:X234)</f>
        <v>96043.7071914857</v>
      </c>
      <c r="AW235" s="11">
        <f t="shared" si="391"/>
        <v>-37.14575800884264</v>
      </c>
      <c r="AX235" s="11">
        <f t="shared" si="392"/>
        <v>-490.02</v>
      </c>
      <c r="AY235" s="11">
        <f t="shared" si="393"/>
        <v>-527.1657580088427</v>
      </c>
      <c r="AZ235" s="11">
        <f t="shared" si="394"/>
        <v>-2191.5862057701615</v>
      </c>
      <c r="BB235" s="191">
        <f t="shared" si="259"/>
        <v>0.0021</v>
      </c>
      <c r="BC235" s="44">
        <f>BB235+Podsumowanie!$E$6</f>
        <v>0.0141</v>
      </c>
      <c r="BD235" s="11">
        <f>BD$5+SUM(BE$5:BE234)+SUM(R$5:R234)-SUM(S$5:S234)</f>
        <v>275207.6052257166</v>
      </c>
      <c r="BE235" s="10">
        <f t="shared" si="395"/>
        <v>-1242.3574614404429</v>
      </c>
      <c r="BF235" s="10">
        <f t="shared" si="396"/>
        <v>-323.368936140217</v>
      </c>
      <c r="BG235" s="10">
        <f>IF(U235&lt;0,PMT(BC235/12,Podsumowanie!E$8-SUM(AB$5:AB235)+1,BD235),0)</f>
        <v>-1565.7263975806598</v>
      </c>
      <c r="BI235" s="11">
        <f>BI$5+SUM(BK$5:BK234)+SUM(R$5:R234)-SUM(S$5:S234)</f>
        <v>218384.40111420638</v>
      </c>
      <c r="BJ235" s="11">
        <f t="shared" si="213"/>
        <v>-256.6016713091925</v>
      </c>
      <c r="BK235" s="11">
        <f t="shared" si="214"/>
        <v>-1114.206128133706</v>
      </c>
      <c r="BL235" s="11">
        <f t="shared" si="397"/>
        <v>-1370.8077994428986</v>
      </c>
      <c r="BN235" s="44">
        <f t="shared" si="260"/>
        <v>0.014199999999999999</v>
      </c>
      <c r="BO235" s="11">
        <f>BO$5+SUM(BP$5:BP234)+SUM(R$5:R234)-SUM(S$5:S234)+SUM(BS$5:BS234)</f>
        <v>270210.6865875531</v>
      </c>
      <c r="BP235" s="10">
        <f t="shared" si="269"/>
        <v>-1218.7668744456969</v>
      </c>
      <c r="BQ235" s="10">
        <f t="shared" si="270"/>
        <v>-319.74931246193785</v>
      </c>
      <c r="BR235" s="10">
        <f>IF(U235&lt;0,PMT(BN235/12,Podsumowanie!E$8-SUM(AB$5:AB235)+1,BO235),0)</f>
        <v>-1538.5161869076348</v>
      </c>
      <c r="BS235" s="10">
        <f t="shared" si="264"/>
        <v>-867.7648407935897</v>
      </c>
      <c r="BU235" s="11">
        <f>BU$5+SUM(BW$5:BW234)+SUM(R$5:R234)-SUM(S$5:S234)+SUM(BY$5,BY234)</f>
        <v>217400.7980608087</v>
      </c>
      <c r="BV235" s="10">
        <f t="shared" si="261"/>
        <v>-257.2576110386236</v>
      </c>
      <c r="BW235" s="10">
        <f t="shared" si="262"/>
        <v>-1109.1877452082076</v>
      </c>
      <c r="BX235" s="10">
        <f t="shared" si="271"/>
        <v>-1366.4453562468311</v>
      </c>
      <c r="BY235" s="10">
        <f t="shared" si="272"/>
        <v>-1039.8356714543934</v>
      </c>
      <c r="CA235" s="10">
        <f>CA$5+SUM(CB$5:CB234)+SUM(R$5:R234)-SUM(S$5:S234)-SUM(CC$5:CC234)</f>
        <v>239064.98618700285</v>
      </c>
      <c r="CB235" s="10">
        <f t="shared" si="265"/>
        <v>257.2576110386236</v>
      </c>
      <c r="CC235" s="10">
        <f t="shared" si="266"/>
        <v>2406.2810277012245</v>
      </c>
      <c r="CD235" s="10">
        <f t="shared" si="267"/>
        <v>2149.023416662601</v>
      </c>
      <c r="CF235" s="44">
        <f t="shared" si="263"/>
        <v>0.3032</v>
      </c>
      <c r="CG235" s="10">
        <f t="shared" si="268"/>
        <v>-729.58</v>
      </c>
      <c r="CH235" s="4">
        <f t="shared" si="273"/>
        <v>0</v>
      </c>
    </row>
    <row r="236" spans="1:86" ht="15.75">
      <c r="A236" s="36"/>
      <c r="B236" s="37">
        <v>44287</v>
      </c>
      <c r="C236" s="77">
        <f t="shared" si="257"/>
        <v>4.1366</v>
      </c>
      <c r="D236" s="79">
        <f>C236*(1+Podsumowanie!E$11)</f>
        <v>4.260698</v>
      </c>
      <c r="E236" s="34">
        <f t="shared" si="370"/>
        <v>-561.950105242696</v>
      </c>
      <c r="F236" s="7">
        <f t="shared" si="371"/>
        <v>-2394.2996895073443</v>
      </c>
      <c r="G236" s="7">
        <f t="shared" si="372"/>
        <v>-1239.4292848218167</v>
      </c>
      <c r="H236" s="7">
        <f t="shared" si="373"/>
        <v>1154.8704046855275</v>
      </c>
      <c r="I236" s="32"/>
      <c r="K236" s="4">
        <f>IF(B236&lt;Podsumowanie!E$7,0,K235+1)</f>
        <v>166</v>
      </c>
      <c r="L236" s="100">
        <f t="shared" si="258"/>
        <v>-0.0077</v>
      </c>
      <c r="M236" s="38">
        <f>L236+Podsumowanie!E$6</f>
        <v>0.0043</v>
      </c>
      <c r="N236" s="101">
        <f>MAX(Podsumowanie!E$4+SUM(AA$5:AA235)-SUM(X$5:X236)+SUM(W$5:W236),0)</f>
        <v>106344.98417084212</v>
      </c>
      <c r="O236" s="102">
        <f>MAX(Podsumowanie!E$2+SUM(V$5:V235)-SUM(S$5:S236)+SUM(R$5:R236),0)</f>
        <v>234553.00825743095</v>
      </c>
      <c r="P236" s="39">
        <f t="shared" si="398"/>
        <v>360</v>
      </c>
      <c r="Q236" s="40" t="str">
        <f>IF(AND(K236&gt;0,K236&lt;=Podsumowanie!E$9),"tak","nie")</f>
        <v>nie</v>
      </c>
      <c r="R236" s="41"/>
      <c r="S236" s="42"/>
      <c r="T236" s="88">
        <f t="shared" si="374"/>
        <v>-84.04816129224609</v>
      </c>
      <c r="U236" s="89">
        <f>IF(Q236="tak",T236,IF(P236-SUM(AB$5:AB236)+1&gt;0,IF(Podsumowanie!E$7&lt;B236,IF(SUM(AB$5:AB236)-Podsumowanie!E$9+1&gt;0,PMT(M236/12,P236+1-SUM(AB$5:AB236),O236),T236),0),0))</f>
        <v>-1239.4292848218167</v>
      </c>
      <c r="V236" s="89">
        <f t="shared" si="375"/>
        <v>-1155.3811235295707</v>
      </c>
      <c r="W236" s="90" t="str">
        <f>IF(R236&gt;0,R236/(C236*(1-Podsumowanie!E$11))," ")</f>
        <v xml:space="preserve"> </v>
      </c>
      <c r="X236" s="90" t="str">
        <f t="shared" si="376"/>
        <v xml:space="preserve"> </v>
      </c>
      <c r="Y236" s="91">
        <f t="shared" si="377"/>
        <v>-38.10695266121842</v>
      </c>
      <c r="Z236" s="90">
        <f>IF(P236-SUM(AB$5:AB236)+1&gt;0,IF(Podsumowanie!E$7&lt;B236,IF(SUM(AB$5:AB236)-Podsumowanie!E$9+1&gt;0,PMT(M236/12,P236+1-SUM(AB$5:AB236),N236),Y236),0),0)</f>
        <v>-561.950105242696</v>
      </c>
      <c r="AA236" s="90">
        <f t="shared" si="378"/>
        <v>-523.8431525814776</v>
      </c>
      <c r="AB236" s="8">
        <f>IF(AND(Podsumowanie!E$7&lt;B236,SUM(AB$5:AB235)&lt;P235),1," ")</f>
        <v>1</v>
      </c>
      <c r="AD236" s="10">
        <f>Podsumowanie!E$4-SUM(AF$5:AF235)+SUM(W$42:W236)-SUM(X$42:X236)</f>
        <v>98509.12813555241</v>
      </c>
      <c r="AE236" s="10">
        <f t="shared" si="379"/>
        <v>35.3</v>
      </c>
      <c r="AF236" s="10">
        <f t="shared" si="380"/>
        <v>505.18</v>
      </c>
      <c r="AG236" s="10">
        <f t="shared" si="381"/>
        <v>540.48</v>
      </c>
      <c r="AH236" s="10">
        <f t="shared" si="382"/>
        <v>2302.82</v>
      </c>
      <c r="AI236" s="10">
        <f>Podsumowanie!E$2-SUM(AK$5:AK235)+SUM(R$42:R236)-SUM(S$42:S236)</f>
        <v>217269.96999999977</v>
      </c>
      <c r="AJ236" s="10">
        <f t="shared" si="383"/>
        <v>77.86</v>
      </c>
      <c r="AK236" s="10">
        <f t="shared" si="384"/>
        <v>1114.2</v>
      </c>
      <c r="AL236" s="10">
        <f t="shared" si="385"/>
        <v>1192.06</v>
      </c>
      <c r="AM236" s="10">
        <f t="shared" si="386"/>
        <v>1110.7600000000002</v>
      </c>
      <c r="AO236" s="43">
        <f t="shared" si="387"/>
        <v>44287</v>
      </c>
      <c r="AP236" s="11">
        <f>AP$5+SUM(AS$5:AS235)-SUM(X$5:X236)+SUM(W$5:W236)</f>
        <v>103154.63464571684</v>
      </c>
      <c r="AQ236" s="10">
        <f t="shared" si="388"/>
        <v>-36.96374408138187</v>
      </c>
      <c r="AR236" s="10">
        <f>IF(AB236=1,IF(Q236="tak",AQ236,PMT(M236/12,P236+1-SUM(AB$5:AB236),AP236)),0)</f>
        <v>-545.091602085415</v>
      </c>
      <c r="AS236" s="10">
        <f t="shared" si="389"/>
        <v>-508.12785800403316</v>
      </c>
      <c r="AT236" s="10">
        <f t="shared" si="390"/>
        <v>-2254.8259211865275</v>
      </c>
      <c r="AV236" s="11">
        <f>AV$5+SUM(AX$5:AX235)+SUM(W$5:W235)-SUM(X$5:X235)</f>
        <v>95553.68719148569</v>
      </c>
      <c r="AW236" s="11">
        <f t="shared" si="391"/>
        <v>-36.96374408138187</v>
      </c>
      <c r="AX236" s="11">
        <f t="shared" si="392"/>
        <v>-490.02</v>
      </c>
      <c r="AY236" s="11">
        <f t="shared" si="393"/>
        <v>-526.9837440813818</v>
      </c>
      <c r="AZ236" s="11">
        <f t="shared" si="394"/>
        <v>-2179.920955767044</v>
      </c>
      <c r="BB236" s="191">
        <f t="shared" si="259"/>
        <v>0.0021</v>
      </c>
      <c r="BC236" s="44">
        <f>BB236+Podsumowanie!$E$6</f>
        <v>0.0141</v>
      </c>
      <c r="BD236" s="11">
        <f>BD$5+SUM(BE$5:BE235)+SUM(R$5:R235)-SUM(S$5:S235)</f>
        <v>273965.2477642761</v>
      </c>
      <c r="BE236" s="10">
        <f t="shared" si="395"/>
        <v>-1243.817231457635</v>
      </c>
      <c r="BF236" s="10">
        <f t="shared" si="396"/>
        <v>-321.9091661230244</v>
      </c>
      <c r="BG236" s="10">
        <f>IF(U236&lt;0,PMT(BC236/12,Podsumowanie!E$8-SUM(AB$5:AB236)+1,BD236),0)</f>
        <v>-1565.7263975806595</v>
      </c>
      <c r="BI236" s="11">
        <f>BI$5+SUM(BK$5:BK235)+SUM(R$5:R235)-SUM(S$5:S235)</f>
        <v>217270.1949860727</v>
      </c>
      <c r="BJ236" s="11">
        <f t="shared" si="213"/>
        <v>-255.29247910863538</v>
      </c>
      <c r="BK236" s="11">
        <f t="shared" si="214"/>
        <v>-1114.206128133706</v>
      </c>
      <c r="BL236" s="11">
        <f t="shared" si="397"/>
        <v>-1369.4986072423414</v>
      </c>
      <c r="BN236" s="44">
        <f t="shared" si="260"/>
        <v>0.014199999999999999</v>
      </c>
      <c r="BO236" s="11">
        <f>BO$5+SUM(BP$5:BP235)+SUM(R$5:R235)-SUM(S$5:S235)+SUM(BS$5:BS235)</f>
        <v>268124.15487231384</v>
      </c>
      <c r="BP236" s="10">
        <f t="shared" si="269"/>
        <v>-1216.27270144247</v>
      </c>
      <c r="BQ236" s="10">
        <f t="shared" si="270"/>
        <v>-317.280249932238</v>
      </c>
      <c r="BR236" s="10">
        <f>IF(U236&lt;0,PMT(BN236/12,Podsumowanie!E$8-SUM(AB$5:AB236)+1,BO236),0)</f>
        <v>-1533.552951374708</v>
      </c>
      <c r="BS236" s="10">
        <f t="shared" si="264"/>
        <v>-860.7467381326362</v>
      </c>
      <c r="BU236" s="11">
        <f>BU$5+SUM(BW$5:BW235)+SUM(R$5:R235)-SUM(S$5:S235)+SUM(BY$5,BY235)</f>
        <v>216282.94143847804</v>
      </c>
      <c r="BV236" s="10">
        <f t="shared" si="261"/>
        <v>-255.93481403553233</v>
      </c>
      <c r="BW236" s="10">
        <f t="shared" si="262"/>
        <v>-1109.1432894280924</v>
      </c>
      <c r="BX236" s="10">
        <f t="shared" si="271"/>
        <v>-1365.0781034636248</v>
      </c>
      <c r="BY236" s="10">
        <f t="shared" si="272"/>
        <v>-1029.2215860437195</v>
      </c>
      <c r="CA236" s="10">
        <f>CA$5+SUM(CB$5:CB235)+SUM(R$5:R235)-SUM(S$5:S235)-SUM(CC$5:CC235)</f>
        <v>236915.96277034027</v>
      </c>
      <c r="CB236" s="10">
        <f t="shared" si="265"/>
        <v>255.93481403553233</v>
      </c>
      <c r="CC236" s="10">
        <f t="shared" si="266"/>
        <v>2394.2996895073443</v>
      </c>
      <c r="CD236" s="10">
        <f t="shared" si="267"/>
        <v>2138.364875471812</v>
      </c>
      <c r="CF236" s="44">
        <f t="shared" si="263"/>
        <v>0.2928</v>
      </c>
      <c r="CG236" s="10">
        <f t="shared" si="268"/>
        <v>-701.05</v>
      </c>
      <c r="CH236" s="4">
        <f t="shared" si="273"/>
        <v>0</v>
      </c>
    </row>
    <row r="237" spans="1:86" ht="15.75">
      <c r="A237" s="36"/>
      <c r="B237" s="37">
        <v>44317</v>
      </c>
      <c r="C237" s="77">
        <f t="shared" si="257"/>
        <v>4.1305</v>
      </c>
      <c r="D237" s="79">
        <f>C237*(1+Podsumowanie!E$11)</f>
        <v>4.254415</v>
      </c>
      <c r="E237" s="34">
        <f t="shared" si="370"/>
        <v>-561.950105242696</v>
      </c>
      <c r="F237" s="7">
        <f t="shared" si="371"/>
        <v>-2390.768956996105</v>
      </c>
      <c r="G237" s="7">
        <f t="shared" si="372"/>
        <v>-1239.4292848218167</v>
      </c>
      <c r="H237" s="7">
        <f t="shared" si="373"/>
        <v>1151.3396721742881</v>
      </c>
      <c r="I237" s="32"/>
      <c r="K237" s="4">
        <f>IF(B237&lt;Podsumowanie!E$7,0,K236+1)</f>
        <v>167</v>
      </c>
      <c r="L237" s="100">
        <f t="shared" si="258"/>
        <v>-0.0077</v>
      </c>
      <c r="M237" s="38">
        <f>L237+Podsumowanie!E$6</f>
        <v>0.0043</v>
      </c>
      <c r="N237" s="101">
        <f>MAX(Podsumowanie!E$4+SUM(AA$5:AA236)-SUM(X$5:X237)+SUM(W$5:W237),0)</f>
        <v>105821.14101826063</v>
      </c>
      <c r="O237" s="102">
        <f>MAX(Podsumowanie!E$2+SUM(V$5:V236)-SUM(S$5:S237)+SUM(R$5:R237),0)</f>
        <v>233397.62713390138</v>
      </c>
      <c r="P237" s="39">
        <f t="shared" si="398"/>
        <v>360</v>
      </c>
      <c r="Q237" s="40" t="str">
        <f>IF(AND(K237&gt;0,K237&lt;=Podsumowanie!E$9),"tak","nie")</f>
        <v>nie</v>
      </c>
      <c r="R237" s="41"/>
      <c r="S237" s="42"/>
      <c r="T237" s="88">
        <f t="shared" si="374"/>
        <v>-83.63414972298132</v>
      </c>
      <c r="U237" s="89">
        <f>IF(Q237="tak",T237,IF(P237-SUM(AB$5:AB237)+1&gt;0,IF(Podsumowanie!E$7&lt;B237,IF(SUM(AB$5:AB237)-Podsumowanie!E$9+1&gt;0,PMT(M237/12,P237+1-SUM(AB$5:AB237),O237),T237),0),0))</f>
        <v>-1239.4292848218167</v>
      </c>
      <c r="V237" s="89">
        <f t="shared" si="375"/>
        <v>-1155.7951350988353</v>
      </c>
      <c r="W237" s="90" t="str">
        <f>IF(R237&gt;0,R237/(C237*(1-Podsumowanie!E$11))," ")</f>
        <v xml:space="preserve"> </v>
      </c>
      <c r="X237" s="90" t="str">
        <f t="shared" si="376"/>
        <v xml:space="preserve"> </v>
      </c>
      <c r="Y237" s="91">
        <f t="shared" si="377"/>
        <v>-37.919242198210064</v>
      </c>
      <c r="Z237" s="90">
        <f>IF(P237-SUM(AB$5:AB237)+1&gt;0,IF(Podsumowanie!E$7&lt;B237,IF(SUM(AB$5:AB237)-Podsumowanie!E$9+1&gt;0,PMT(M237/12,P237+1-SUM(AB$5:AB237),N237),Y237),0),0)</f>
        <v>-561.950105242696</v>
      </c>
      <c r="AA237" s="90">
        <f t="shared" si="378"/>
        <v>-524.030863044486</v>
      </c>
      <c r="AB237" s="8">
        <f>IF(AND(Podsumowanie!E$7&lt;B237,SUM(AB$5:AB236)&lt;P236),1," ")</f>
        <v>1</v>
      </c>
      <c r="AD237" s="10">
        <f>Podsumowanie!E$4-SUM(AF$5:AF236)+SUM(W$42:W237)-SUM(X$42:X237)</f>
        <v>98003.94813555242</v>
      </c>
      <c r="AE237" s="10">
        <f t="shared" si="379"/>
        <v>35.12</v>
      </c>
      <c r="AF237" s="10">
        <f t="shared" si="380"/>
        <v>505.17</v>
      </c>
      <c r="AG237" s="10">
        <f t="shared" si="381"/>
        <v>540.29</v>
      </c>
      <c r="AH237" s="10">
        <f t="shared" si="382"/>
        <v>2298.62</v>
      </c>
      <c r="AI237" s="10">
        <f>Podsumowanie!E$2-SUM(AK$5:AK236)+SUM(R$42:R237)-SUM(S$42:S237)</f>
        <v>216155.76999999976</v>
      </c>
      <c r="AJ237" s="10">
        <f t="shared" si="383"/>
        <v>77.46</v>
      </c>
      <c r="AK237" s="10">
        <f t="shared" si="384"/>
        <v>1114.21</v>
      </c>
      <c r="AL237" s="10">
        <f t="shared" si="385"/>
        <v>1191.67</v>
      </c>
      <c r="AM237" s="10">
        <f t="shared" si="386"/>
        <v>1106.9499999999998</v>
      </c>
      <c r="AO237" s="43">
        <f t="shared" si="387"/>
        <v>44317</v>
      </c>
      <c r="AP237" s="11">
        <f>AP$5+SUM(AS$5:AS236)-SUM(X$5:X237)+SUM(W$5:W237)</f>
        <v>102646.5067877128</v>
      </c>
      <c r="AQ237" s="10">
        <f t="shared" si="388"/>
        <v>-36.78166493226376</v>
      </c>
      <c r="AR237" s="10">
        <f>IF(AB237=1,IF(Q237="tak",AQ237,PMT(M237/12,P237+1-SUM(AB$5:AB237),AP237)),0)</f>
        <v>-545.091602085415</v>
      </c>
      <c r="AS237" s="10">
        <f t="shared" si="389"/>
        <v>-508.3099371531513</v>
      </c>
      <c r="AT237" s="10">
        <f t="shared" si="390"/>
        <v>-2251.5008624138068</v>
      </c>
      <c r="AV237" s="11">
        <f>AV$5+SUM(AX$5:AX236)+SUM(W$5:W236)-SUM(X$5:X236)</f>
        <v>95063.66719148569</v>
      </c>
      <c r="AW237" s="11">
        <f t="shared" si="391"/>
        <v>-36.78166493226376</v>
      </c>
      <c r="AX237" s="11">
        <f t="shared" si="392"/>
        <v>-490.02</v>
      </c>
      <c r="AY237" s="11">
        <f t="shared" si="393"/>
        <v>-526.8016649322637</v>
      </c>
      <c r="AZ237" s="11">
        <f t="shared" si="394"/>
        <v>-2175.954277002715</v>
      </c>
      <c r="BB237" s="191">
        <f t="shared" si="259"/>
        <v>0.0021</v>
      </c>
      <c r="BC237" s="44">
        <f>BB237+Podsumowanie!$E$6</f>
        <v>0.0141</v>
      </c>
      <c r="BD237" s="11">
        <f>BD$5+SUM(BE$5:BE236)+SUM(R$5:R236)-SUM(S$5:S236)</f>
        <v>272721.4305328185</v>
      </c>
      <c r="BE237" s="10">
        <f t="shared" si="395"/>
        <v>-1245.278716704598</v>
      </c>
      <c r="BF237" s="10">
        <f t="shared" si="396"/>
        <v>-320.4476808760617</v>
      </c>
      <c r="BG237" s="10">
        <f>IF(U237&lt;0,PMT(BC237/12,Podsumowanie!E$8-SUM(AB$5:AB237)+1,BD237),0)</f>
        <v>-1565.7263975806598</v>
      </c>
      <c r="BI237" s="11">
        <f>BI$5+SUM(BK$5:BK236)+SUM(R$5:R236)-SUM(S$5:S236)</f>
        <v>216155.988857939</v>
      </c>
      <c r="BJ237" s="11">
        <f t="shared" si="213"/>
        <v>-253.9832869080783</v>
      </c>
      <c r="BK237" s="11">
        <f t="shared" si="214"/>
        <v>-1114.2061281337062</v>
      </c>
      <c r="BL237" s="11">
        <f t="shared" si="397"/>
        <v>-1368.1894150417845</v>
      </c>
      <c r="BN237" s="44">
        <f t="shared" si="260"/>
        <v>0.014199999999999999</v>
      </c>
      <c r="BO237" s="11">
        <f>BO$5+SUM(BP$5:BP236)+SUM(R$5:R236)-SUM(S$5:S236)+SUM(BS$5:BS236)</f>
        <v>266047.13543273875</v>
      </c>
      <c r="BP237" s="10">
        <f t="shared" si="269"/>
        <v>-1213.7849786704812</v>
      </c>
      <c r="BQ237" s="10">
        <f t="shared" si="270"/>
        <v>-314.8224435954075</v>
      </c>
      <c r="BR237" s="10">
        <f>IF(U237&lt;0,PMT(BN237/12,Podsumowanie!E$8-SUM(AB$5:AB237)+1,BO237),0)</f>
        <v>-1528.6074222658888</v>
      </c>
      <c r="BS237" s="10">
        <f t="shared" si="264"/>
        <v>-862.1615347302161</v>
      </c>
      <c r="BU237" s="11">
        <f>BU$5+SUM(BW$5:BW236)+SUM(R$5:R236)-SUM(S$5:S236)+SUM(BY$5,BY236)</f>
        <v>215184.41223446064</v>
      </c>
      <c r="BV237" s="10">
        <f t="shared" si="261"/>
        <v>-254.63488781077842</v>
      </c>
      <c r="BW237" s="10">
        <f t="shared" si="262"/>
        <v>-1109.19800120856</v>
      </c>
      <c r="BX237" s="10">
        <f t="shared" si="271"/>
        <v>-1363.8328890193384</v>
      </c>
      <c r="BY237" s="10">
        <f t="shared" si="272"/>
        <v>-1026.9360679767665</v>
      </c>
      <c r="CA237" s="10">
        <f>CA$5+SUM(CB$5:CB236)+SUM(R$5:R236)-SUM(S$5:S236)-SUM(CC$5:CC236)</f>
        <v>234777.59789486846</v>
      </c>
      <c r="CB237" s="10">
        <f t="shared" si="265"/>
        <v>254.63488781077842</v>
      </c>
      <c r="CC237" s="10">
        <f t="shared" si="266"/>
        <v>2390.768956996105</v>
      </c>
      <c r="CD237" s="10">
        <f t="shared" si="267"/>
        <v>2136.1340691853266</v>
      </c>
      <c r="CF237" s="44">
        <f t="shared" si="263"/>
        <v>0.2889</v>
      </c>
      <c r="CG237" s="10">
        <f t="shared" si="268"/>
        <v>-690.69</v>
      </c>
      <c r="CH237" s="4">
        <f t="shared" si="273"/>
        <v>0</v>
      </c>
    </row>
    <row r="238" spans="1:86" ht="15.75">
      <c r="A238" s="36"/>
      <c r="B238" s="37">
        <v>44348</v>
      </c>
      <c r="C238" s="77">
        <f t="shared" si="257"/>
        <v>4.1152</v>
      </c>
      <c r="D238" s="79">
        <f>C238*(1+Podsumowanie!E$11)</f>
        <v>4.238656</v>
      </c>
      <c r="E238" s="34">
        <f>Z238</f>
        <v>-561.950105242696</v>
      </c>
      <c r="F238" s="7">
        <f>E238*D238</f>
        <v>-2381.913185287585</v>
      </c>
      <c r="G238" s="7">
        <f>U238</f>
        <v>-1239.429284821817</v>
      </c>
      <c r="H238" s="7">
        <f>G238-F238</f>
        <v>1142.4839004657679</v>
      </c>
      <c r="I238" s="32"/>
      <c r="K238" s="4">
        <f>IF(B238&lt;Podsumowanie!E$7,0,K237+1)</f>
        <v>168</v>
      </c>
      <c r="L238" s="100">
        <f t="shared" si="258"/>
        <v>-0.0077</v>
      </c>
      <c r="M238" s="38">
        <f>L238+Podsumowanie!E$6</f>
        <v>0.0043</v>
      </c>
      <c r="N238" s="101">
        <f>MAX(Podsumowanie!E$4+SUM(AA$5:AA237)-SUM(X$5:X238)+SUM(W$5:W238),0)</f>
        <v>105297.11015521614</v>
      </c>
      <c r="O238" s="102">
        <f>MAX(Podsumowanie!E$2+SUM(V$5:V237)-SUM(S$5:S238)+SUM(R$5:R238),0)</f>
        <v>232241.83199880255</v>
      </c>
      <c r="P238" s="39">
        <f t="shared" si="398"/>
        <v>360</v>
      </c>
      <c r="Q238" s="40" t="str">
        <f>IF(AND(K238&gt;0,K238&lt;=Podsumowanie!E$9),"tak","nie")</f>
        <v>nie</v>
      </c>
      <c r="R238" s="41"/>
      <c r="S238" s="42"/>
      <c r="T238" s="88">
        <f>IF(AB238=1,-O238*M238/12,0)</f>
        <v>-83.21998979957091</v>
      </c>
      <c r="U238" s="89">
        <f>IF(Q238="tak",T238,IF(P238-SUM(AB$5:AB238)+1&gt;0,IF(Podsumowanie!E$7&lt;B238,IF(SUM(AB$5:AB238)-Podsumowanie!E$9+1&gt;0,PMT(M238/12,P238+1-SUM(AB$5:AB238),O238),T238),0),0))</f>
        <v>-1239.429284821817</v>
      </c>
      <c r="V238" s="89">
        <f>U238-T238</f>
        <v>-1156.2092950222461</v>
      </c>
      <c r="W238" s="90" t="str">
        <f>IF(R238&gt;0,R238/(C238*(1-Podsumowanie!E$11))," ")</f>
        <v xml:space="preserve"> </v>
      </c>
      <c r="X238" s="90" t="str">
        <f>IF(S238&gt;0,S238/D238," ")</f>
        <v xml:space="preserve"> </v>
      </c>
      <c r="Y238" s="91">
        <f>IF(AB238=1,-N238*M238/12,0)</f>
        <v>-37.731464472285786</v>
      </c>
      <c r="Z238" s="90">
        <f>IF(P238-SUM(AB$5:AB238)+1&gt;0,IF(Podsumowanie!E$7&lt;B238,IF(SUM(AB$5:AB238)-Podsumowanie!E$9+1&gt;0,PMT(M238/12,P238+1-SUM(AB$5:AB238),N238),Y238),0),0)</f>
        <v>-561.950105242696</v>
      </c>
      <c r="AA238" s="90">
        <f>Z238-Y238</f>
        <v>-524.2186407704103</v>
      </c>
      <c r="AB238" s="8">
        <f>IF(AND(Podsumowanie!E$7&lt;B238,SUM(AB$5:AB237)&lt;P237),1," ")</f>
        <v>1</v>
      </c>
      <c r="AD238" s="10">
        <f>Podsumowanie!E$4-SUM(AF$5:AF237)+SUM(W$42:W238)-SUM(X$42:X238)</f>
        <v>97498.77813555242</v>
      </c>
      <c r="AE238" s="10">
        <f>IF(AB238=1,ROUND(AD238*M238/12,2),0)</f>
        <v>34.94</v>
      </c>
      <c r="AF238" s="10">
        <f>IF(Q238="tak",0,IF(AB238=1,ROUND(AD238/(P238-K238+1),2),0))</f>
        <v>505.18</v>
      </c>
      <c r="AG238" s="10">
        <f>AF238+AE238</f>
        <v>540.12</v>
      </c>
      <c r="AH238" s="10">
        <f>ROUND(AG238*D238,2)</f>
        <v>2289.38</v>
      </c>
      <c r="AI238" s="10">
        <f>Podsumowanie!E$2-SUM(AK$5:AK237)+SUM(R$42:R238)-SUM(S$42:S238)</f>
        <v>215041.55999999976</v>
      </c>
      <c r="AJ238" s="10">
        <f>IF(AB238=1,ROUND(AI238*M238/12,2),0)</f>
        <v>77.06</v>
      </c>
      <c r="AK238" s="10">
        <f>IF(Q238="tak",0,IF(AB238=1,ROUND(AI238/(P238-K238+1),2),0))</f>
        <v>1114.2</v>
      </c>
      <c r="AL238" s="10">
        <f>AK238+AJ238</f>
        <v>1191.26</v>
      </c>
      <c r="AM238" s="10">
        <f>AH238-AL238</f>
        <v>1098.1200000000001</v>
      </c>
      <c r="AO238" s="43">
        <f>B238</f>
        <v>44348</v>
      </c>
      <c r="AP238" s="11">
        <f>AP$5+SUM(AS$5:AS237)-SUM(X$5:X238)+SUM(W$5:W238)</f>
        <v>102138.19685055965</v>
      </c>
      <c r="AQ238" s="10">
        <f>IF(AB238=1,-AP238*M238/12,0)</f>
        <v>-36.599520538117204</v>
      </c>
      <c r="AR238" s="10">
        <f>IF(AB238=1,IF(Q238="tak",AQ238,PMT(M238/12,P238+1-SUM(AB$5:AB238),AP238)),0)</f>
        <v>-545.0916020854152</v>
      </c>
      <c r="AS238" s="10">
        <f>AR238-AQ238</f>
        <v>-508.49208154729797</v>
      </c>
      <c r="AT238" s="10">
        <f>AR238*C238</f>
        <v>-2243.1609609019</v>
      </c>
      <c r="AV238" s="11">
        <f>AV$5+SUM(AX$5:AX237)+SUM(W$5:W237)-SUM(X$5:X237)</f>
        <v>94573.64719148568</v>
      </c>
      <c r="AW238" s="11">
        <f>IF(AB238=1,-AP238*M238/12,0)</f>
        <v>-36.599520538117204</v>
      </c>
      <c r="AX238" s="11">
        <f>IF(AB238=1,IF(Q238="tak",0,ROUND(-AV238/(P238-K238+1),2)),0)</f>
        <v>-490.02</v>
      </c>
      <c r="AY238" s="11">
        <f>AX238+AW238</f>
        <v>-526.6195205381172</v>
      </c>
      <c r="AZ238" s="11">
        <f>AY238*C238</f>
        <v>-2167.14465091846</v>
      </c>
      <c r="BB238" s="191">
        <f t="shared" si="259"/>
        <v>0.0021</v>
      </c>
      <c r="BC238" s="44">
        <f>BB238+Podsumowanie!$E$6</f>
        <v>0.0141</v>
      </c>
      <c r="BD238" s="11">
        <f>BD$5+SUM(BE$5:BE237)+SUM(R$5:R237)-SUM(S$5:S237)</f>
        <v>271476.15181611385</v>
      </c>
      <c r="BE238" s="10">
        <f>IF(BG238&lt;0,BG238-BF238,0)</f>
        <v>-1246.7419191967256</v>
      </c>
      <c r="BF238" s="10">
        <f>IF(BG238&lt;0,-BD238*BC238/12,0)</f>
        <v>-318.9844783839338</v>
      </c>
      <c r="BG238" s="10">
        <f>IF(U238&lt;0,PMT(BC238/12,Podsumowanie!E$8-SUM(AB$5:AB238)+1,BD238),0)</f>
        <v>-1565.7263975806593</v>
      </c>
      <c r="BI238" s="11">
        <f>BI$5+SUM(BK$5:BK237)+SUM(R$5:R237)-SUM(S$5:S237)</f>
        <v>215041.7827298053</v>
      </c>
      <c r="BJ238" s="11">
        <f t="shared" si="213"/>
        <v>-252.67409470752122</v>
      </c>
      <c r="BK238" s="11">
        <f t="shared" si="214"/>
        <v>-1114.2061281337062</v>
      </c>
      <c r="BL238" s="11">
        <f t="shared" si="397"/>
        <v>-1366.8802228412274</v>
      </c>
      <c r="BN238" s="44">
        <f t="shared" si="260"/>
        <v>0.014199999999999999</v>
      </c>
      <c r="BO238" s="11">
        <f>BO$5+SUM(BP$5:BP237)+SUM(R$5:R237)-SUM(S$5:S237)+SUM(BS$5:BS237)</f>
        <v>263971.188919338</v>
      </c>
      <c r="BP238" s="10">
        <f t="shared" si="269"/>
        <v>-1211.2651537569284</v>
      </c>
      <c r="BQ238" s="10">
        <f t="shared" si="270"/>
        <v>-312.3659068878833</v>
      </c>
      <c r="BR238" s="10">
        <f>IF(U238&lt;0,PMT(BN238/12,Podsumowanie!E$8-SUM(AB$5:AB238)+1,BO238),0)</f>
        <v>-1523.6310606448117</v>
      </c>
      <c r="BS238" s="10">
        <f t="shared" si="264"/>
        <v>-858.2821246427732</v>
      </c>
      <c r="BU238" s="11">
        <f>BU$5+SUM(BW$5:BW237)+SUM(R$5:R237)-SUM(S$5:S237)+SUM(BY$5,BY237)</f>
        <v>214077.49975131903</v>
      </c>
      <c r="BV238" s="10">
        <f t="shared" si="261"/>
        <v>-253.32504137239417</v>
      </c>
      <c r="BW238" s="10">
        <f t="shared" si="262"/>
        <v>-1109.2098432710832</v>
      </c>
      <c r="BX238" s="10">
        <f t="shared" si="271"/>
        <v>-1362.5348846434774</v>
      </c>
      <c r="BY238" s="10">
        <f t="shared" si="272"/>
        <v>-1019.3783006441074</v>
      </c>
      <c r="CA238" s="10">
        <f>CA$5+SUM(CB$5:CB237)+SUM(R$5:R237)-SUM(S$5:S237)-SUM(CC$5:CC237)</f>
        <v>232641.46382568317</v>
      </c>
      <c r="CB238" s="10">
        <f t="shared" si="265"/>
        <v>253.32504137239417</v>
      </c>
      <c r="CC238" s="10">
        <f t="shared" si="266"/>
        <v>2381.913185287585</v>
      </c>
      <c r="CD238" s="10">
        <f t="shared" si="267"/>
        <v>2128.588143915191</v>
      </c>
      <c r="CF238" s="44">
        <f t="shared" si="263"/>
        <v>0.2877</v>
      </c>
      <c r="CG238" s="10">
        <f t="shared" si="268"/>
        <v>-685.28</v>
      </c>
      <c r="CH238" s="4">
        <f t="shared" si="273"/>
        <v>0</v>
      </c>
    </row>
    <row r="239" spans="1:86" ht="15.75">
      <c r="A239" s="36"/>
      <c r="B239" s="37">
        <v>44378</v>
      </c>
      <c r="C239" s="77">
        <f t="shared" si="257"/>
        <v>4.2033</v>
      </c>
      <c r="D239" s="79">
        <f>C239*(1+Podsumowanie!E$11)</f>
        <v>4.3293989999999996</v>
      </c>
      <c r="E239" s="34">
        <f>Z239</f>
        <v>-561.950105242696</v>
      </c>
      <c r="F239" s="7">
        <f>E239*D239</f>
        <v>-2432.906223687623</v>
      </c>
      <c r="G239" s="7">
        <f>U239</f>
        <v>-1239.429284821817</v>
      </c>
      <c r="H239" s="7">
        <f>G239-F239</f>
        <v>1193.476938865806</v>
      </c>
      <c r="I239" s="32"/>
      <c r="K239" s="4">
        <f>IF(B239&lt;Podsumowanie!E$7,0,K238+1)</f>
        <v>169</v>
      </c>
      <c r="L239" s="100">
        <f t="shared" si="258"/>
        <v>-0.0077</v>
      </c>
      <c r="M239" s="38">
        <f>L239+Podsumowanie!E$6</f>
        <v>0.0043</v>
      </c>
      <c r="N239" s="101">
        <f>MAX(Podsumowanie!E$4+SUM(AA$5:AA238)-SUM(X$5:X239)+SUM(W$5:W239),0)</f>
        <v>104772.89151444573</v>
      </c>
      <c r="O239" s="102">
        <f>MAX(Podsumowanie!E$2+SUM(V$5:V238)-SUM(S$5:S239)+SUM(R$5:R239),0)</f>
        <v>231085.6227037803</v>
      </c>
      <c r="P239" s="39">
        <f t="shared" si="398"/>
        <v>360</v>
      </c>
      <c r="Q239" s="40" t="str">
        <f>IF(AND(K239&gt;0,K239&lt;=Podsumowanie!E$9),"tak","nie")</f>
        <v>nie</v>
      </c>
      <c r="R239" s="41"/>
      <c r="S239" s="42"/>
      <c r="T239" s="88">
        <f>IF(AB239=1,-O239*M239/12,0)</f>
        <v>-82.80568146885462</v>
      </c>
      <c r="U239" s="89">
        <f>IF(Q239="tak",T239,IF(P239-SUM(AB$5:AB239)+1&gt;0,IF(Podsumowanie!E$7&lt;B239,IF(SUM(AB$5:AB239)-Podsumowanie!E$9+1&gt;0,PMT(M239/12,P239+1-SUM(AB$5:AB239),O239),T239),0),0))</f>
        <v>-1239.429284821817</v>
      </c>
      <c r="V239" s="89">
        <f>U239-T239</f>
        <v>-1156.6236033529624</v>
      </c>
      <c r="W239" s="90" t="str">
        <f>IF(R239&gt;0,R239/(C239*(1-Podsumowanie!E$11))," ")</f>
        <v xml:space="preserve"> </v>
      </c>
      <c r="X239" s="90" t="str">
        <f>IF(S239&gt;0,S239/D239," ")</f>
        <v xml:space="preserve"> </v>
      </c>
      <c r="Y239" s="91">
        <f>IF(AB239=1,-N239*M239/12,0)</f>
        <v>-37.543619459343056</v>
      </c>
      <c r="Z239" s="90">
        <f>IF(P239-SUM(AB$5:AB239)+1&gt;0,IF(Podsumowanie!E$7&lt;B239,IF(SUM(AB$5:AB239)-Podsumowanie!E$9+1&gt;0,PMT(M239/12,P239+1-SUM(AB$5:AB239),N239),Y239),0),0)</f>
        <v>-561.950105242696</v>
      </c>
      <c r="AA239" s="90">
        <f>Z239-Y239</f>
        <v>-524.406485783353</v>
      </c>
      <c r="AB239" s="8">
        <f>IF(AND(Podsumowanie!E$7&lt;B239,SUM(AB$5:AB238)&lt;P238),1," ")</f>
        <v>1</v>
      </c>
      <c r="AD239" s="10">
        <f>Podsumowanie!E$4-SUM(AF$5:AF238)+SUM(W$42:W239)-SUM(X$42:X239)</f>
        <v>96993.59813555243</v>
      </c>
      <c r="AE239" s="10">
        <f>IF(AB239=1,ROUND(AD239*M239/12,2),0)</f>
        <v>34.76</v>
      </c>
      <c r="AF239" s="10">
        <f>IF(Q239="tak",0,IF(AB239=1,ROUND(AD239/(P239-K239+1),2),0))</f>
        <v>505.17</v>
      </c>
      <c r="AG239" s="10">
        <f>AF239+AE239</f>
        <v>539.9300000000001</v>
      </c>
      <c r="AH239" s="10">
        <f>ROUND(AG239*D239,2)</f>
        <v>2337.57</v>
      </c>
      <c r="AI239" s="10">
        <f>Podsumowanie!E$2-SUM(AK$5:AK238)+SUM(R$42:R239)-SUM(S$42:S239)</f>
        <v>213927.35999999975</v>
      </c>
      <c r="AJ239" s="10">
        <f>IF(AB239=1,ROUND(AI239*M239/12,2),0)</f>
        <v>76.66</v>
      </c>
      <c r="AK239" s="10">
        <f>IF(Q239="tak",0,IF(AB239=1,ROUND(AI239/(P239-K239+1),2),0))</f>
        <v>1114.21</v>
      </c>
      <c r="AL239" s="10">
        <f>AK239+AJ239</f>
        <v>1190.8700000000001</v>
      </c>
      <c r="AM239" s="10">
        <f>AH239-AL239</f>
        <v>1146.7</v>
      </c>
      <c r="AO239" s="43">
        <f>B239</f>
        <v>44378</v>
      </c>
      <c r="AP239" s="11">
        <f>AP$5+SUM(AS$5:AS238)-SUM(X$5:X239)+SUM(W$5:W239)</f>
        <v>101629.70476901234</v>
      </c>
      <c r="AQ239" s="10">
        <f>IF(AB239=1,-AP239*M239/12,0)</f>
        <v>-36.417310875562755</v>
      </c>
      <c r="AR239" s="10">
        <f>IF(AB239=1,IF(Q239="tak",AQ239,PMT(M239/12,P239+1-SUM(AB$5:AB239),AP239)),0)</f>
        <v>-545.091602085415</v>
      </c>
      <c r="AS239" s="10">
        <f>AR239-AQ239</f>
        <v>-508.6742912098523</v>
      </c>
      <c r="AT239" s="10">
        <f>AR239*C239</f>
        <v>-2291.183531045625</v>
      </c>
      <c r="AV239" s="11">
        <f>AV$5+SUM(AX$5:AX238)+SUM(W$5:W238)-SUM(X$5:X238)</f>
        <v>94083.62719148568</v>
      </c>
      <c r="AW239" s="11">
        <f>IF(AB239=1,-AP239*M239/12,0)</f>
        <v>-36.417310875562755</v>
      </c>
      <c r="AX239" s="11">
        <f>IF(AB239=1,IF(Q239="tak",0,ROUND(-AV239/(P239-K239+1),2)),0)</f>
        <v>-490.02</v>
      </c>
      <c r="AY239" s="11">
        <f>AX239+AW239</f>
        <v>-526.4373108755627</v>
      </c>
      <c r="AZ239" s="11">
        <f>AY239*C239</f>
        <v>-2212.7739488032526</v>
      </c>
      <c r="BB239" s="191">
        <f t="shared" si="259"/>
        <v>0.0021</v>
      </c>
      <c r="BC239" s="44">
        <f>BB239+Podsumowanie!$E$6</f>
        <v>0.0141</v>
      </c>
      <c r="BD239" s="11">
        <f>BD$5+SUM(BE$5:BE238)+SUM(R$5:R238)-SUM(S$5:S238)</f>
        <v>270229.4098969172</v>
      </c>
      <c r="BE239" s="10">
        <f>IF(BG239&lt;0,BG239-BF239,0)</f>
        <v>-1248.206840951782</v>
      </c>
      <c r="BF239" s="10">
        <f>IF(BG239&lt;0,-BD239*BC239/12,0)</f>
        <v>-317.51955662887764</v>
      </c>
      <c r="BG239" s="10">
        <f>IF(U239&lt;0,PMT(BC239/12,Podsumowanie!E$8-SUM(AB$5:AB239)+1,BD239),0)</f>
        <v>-1565.7263975806595</v>
      </c>
      <c r="BI239" s="11">
        <f>BI$5+SUM(BK$5:BK238)+SUM(R$5:R238)-SUM(S$5:S238)</f>
        <v>213927.5766016716</v>
      </c>
      <c r="BJ239" s="11">
        <f t="shared" si="213"/>
        <v>-251.3649025069641</v>
      </c>
      <c r="BK239" s="11">
        <f t="shared" si="214"/>
        <v>-1114.2061281337062</v>
      </c>
      <c r="BL239" s="11">
        <f t="shared" si="397"/>
        <v>-1365.5710306406704</v>
      </c>
      <c r="BN239" s="44">
        <f t="shared" si="260"/>
        <v>0.014199999999999999</v>
      </c>
      <c r="BO239" s="11">
        <f>BO$5+SUM(BP$5:BP238)+SUM(R$5:R238)-SUM(S$5:S238)+SUM(BS$5:BS238)</f>
        <v>261901.64164093832</v>
      </c>
      <c r="BP239" s="10">
        <f t="shared" si="269"/>
        <v>-1208.7373115083356</v>
      </c>
      <c r="BQ239" s="10">
        <f t="shared" si="270"/>
        <v>-309.91694260844366</v>
      </c>
      <c r="BR239" s="10">
        <f>IF(U239&lt;0,PMT(BN239/12,Podsumowanie!E$8-SUM(AB$5:AB239)+1,BO239),0)</f>
        <v>-1518.6542541167792</v>
      </c>
      <c r="BS239" s="10">
        <f t="shared" si="264"/>
        <v>-914.2519695708438</v>
      </c>
      <c r="BU239" s="11">
        <f>BU$5+SUM(BW$5:BW238)+SUM(R$5:R238)-SUM(S$5:S238)+SUM(BY$5,BY238)</f>
        <v>212975.8476753806</v>
      </c>
      <c r="BV239" s="10">
        <f t="shared" si="261"/>
        <v>-252.02141974920036</v>
      </c>
      <c r="BW239" s="10">
        <f t="shared" si="262"/>
        <v>-1109.2492066426073</v>
      </c>
      <c r="BX239" s="10">
        <f t="shared" si="271"/>
        <v>-1361.2706263918076</v>
      </c>
      <c r="BY239" s="10">
        <f t="shared" si="272"/>
        <v>-1071.6355972958154</v>
      </c>
      <c r="CA239" s="10">
        <f>CA$5+SUM(CB$5:CB238)+SUM(R$5:R238)-SUM(S$5:S238)-SUM(CC$5:CC238)</f>
        <v>230512.87568176806</v>
      </c>
      <c r="CB239" s="10">
        <f t="shared" si="265"/>
        <v>252.02141974920036</v>
      </c>
      <c r="CC239" s="10">
        <f t="shared" si="266"/>
        <v>2432.906223687623</v>
      </c>
      <c r="CD239" s="10">
        <f t="shared" si="267"/>
        <v>2180.8848039384225</v>
      </c>
      <c r="CF239" s="44">
        <f t="shared" si="263"/>
        <v>0.2825</v>
      </c>
      <c r="CG239" s="10">
        <f t="shared" si="268"/>
        <v>-687.3</v>
      </c>
      <c r="CH239" s="4">
        <f t="shared" si="273"/>
        <v>0</v>
      </c>
    </row>
    <row r="240" spans="1:86" ht="15.75">
      <c r="A240" s="36"/>
      <c r="B240" s="37">
        <v>44409</v>
      </c>
      <c r="C240" s="77">
        <f t="shared" si="257"/>
        <v>4.2465</v>
      </c>
      <c r="D240" s="79">
        <f>C240*(1+Podsumowanie!E$11)</f>
        <v>4.373895</v>
      </c>
      <c r="E240" s="34">
        <f>Z240</f>
        <v>-561.9501052426959</v>
      </c>
      <c r="F240" s="7">
        <f>E240*D240</f>
        <v>-2457.910755570502</v>
      </c>
      <c r="G240" s="7">
        <f>U240</f>
        <v>-1239.429284821817</v>
      </c>
      <c r="H240" s="7">
        <f>G240-F240</f>
        <v>1218.4814707486848</v>
      </c>
      <c r="I240" s="32"/>
      <c r="K240" s="4">
        <f>IF(B240&lt;Podsumowanie!E$7,0,K239+1)</f>
        <v>170</v>
      </c>
      <c r="L240" s="100">
        <f t="shared" si="258"/>
        <v>-0.0077</v>
      </c>
      <c r="M240" s="38">
        <f>L240+Podsumowanie!E$6</f>
        <v>0.0043</v>
      </c>
      <c r="N240" s="101">
        <f>MAX(Podsumowanie!E$4+SUM(AA$5:AA239)-SUM(X$5:X240)+SUM(W$5:W240),0)</f>
        <v>104248.48502866237</v>
      </c>
      <c r="O240" s="102">
        <f>MAX(Podsumowanie!E$2+SUM(V$5:V239)-SUM(S$5:S240)+SUM(R$5:R240),0)</f>
        <v>229928.99910042735</v>
      </c>
      <c r="P240" s="39">
        <f t="shared" si="398"/>
        <v>360</v>
      </c>
      <c r="Q240" s="40" t="str">
        <f>IF(AND(K240&gt;0,K240&lt;=Podsumowanie!E$9),"tak","nie")</f>
        <v>nie</v>
      </c>
      <c r="R240" s="41"/>
      <c r="S240" s="42"/>
      <c r="T240" s="88">
        <f>IF(AB240=1,-O240*M240/12,0)</f>
        <v>-82.39122467765314</v>
      </c>
      <c r="U240" s="89">
        <f>IF(Q240="tak",T240,IF(P240-SUM(AB$5:AB240)+1&gt;0,IF(Podsumowanie!E$7&lt;B240,IF(SUM(AB$5:AB240)-Podsumowanie!E$9+1&gt;0,PMT(M240/12,P240+1-SUM(AB$5:AB240),O240),T240),0),0))</f>
        <v>-1239.429284821817</v>
      </c>
      <c r="V240" s="89">
        <f>U240-T240</f>
        <v>-1157.0380601441639</v>
      </c>
      <c r="W240" s="90" t="str">
        <f>IF(R240&gt;0,R240/(C240*(1-Podsumowanie!E$11))," ")</f>
        <v xml:space="preserve"> </v>
      </c>
      <c r="X240" s="90" t="str">
        <f>IF(S240&gt;0,S240/D240," ")</f>
        <v xml:space="preserve"> </v>
      </c>
      <c r="Y240" s="91">
        <f>IF(AB240=1,-N240*M240/12,0)</f>
        <v>-37.355707135270684</v>
      </c>
      <c r="Z240" s="90">
        <f>IF(P240-SUM(AB$5:AB240)+1&gt;0,IF(Podsumowanie!E$7&lt;B240,IF(SUM(AB$5:AB240)-Podsumowanie!E$9+1&gt;0,PMT(M240/12,P240+1-SUM(AB$5:AB240),N240),Y240),0),0)</f>
        <v>-561.9501052426959</v>
      </c>
      <c r="AA240" s="90">
        <f>Z240-Y240</f>
        <v>-524.5943981074253</v>
      </c>
      <c r="AB240" s="8">
        <f>IF(AND(Podsumowanie!E$7&lt;B240,SUM(AB$5:AB239)&lt;P239),1," ")</f>
        <v>1</v>
      </c>
      <c r="AD240" s="10">
        <f>Podsumowanie!E$4-SUM(AF$5:AF239)+SUM(W$42:W240)-SUM(X$42:X240)</f>
        <v>96488.42813555243</v>
      </c>
      <c r="AE240" s="10">
        <f>IF(AB240=1,ROUND(AD240*M240/12,2),0)</f>
        <v>34.58</v>
      </c>
      <c r="AF240" s="10">
        <f>IF(Q240="tak",0,IF(AB240=1,ROUND(AD240/(P240-K240+1),2),0))</f>
        <v>505.18</v>
      </c>
      <c r="AG240" s="10">
        <f>AF240+AE240</f>
        <v>539.76</v>
      </c>
      <c r="AH240" s="10">
        <f>ROUND(AG240*D240,2)</f>
        <v>2360.85</v>
      </c>
      <c r="AI240" s="10">
        <f>Podsumowanie!E$2-SUM(AK$5:AK239)+SUM(R$42:R240)-SUM(S$42:S240)</f>
        <v>212813.14999999976</v>
      </c>
      <c r="AJ240" s="10">
        <f>IF(AB240=1,ROUND(AI240*M240/12,2),0)</f>
        <v>76.26</v>
      </c>
      <c r="AK240" s="10">
        <f>IF(Q240="tak",0,IF(AB240=1,ROUND(AI240/(P240-K240+1),2),0))</f>
        <v>1114.2</v>
      </c>
      <c r="AL240" s="10">
        <f>AK240+AJ240</f>
        <v>1190.46</v>
      </c>
      <c r="AM240" s="10">
        <f>AH240-AL240</f>
        <v>1170.3899999999999</v>
      </c>
      <c r="AO240" s="43">
        <f>B240</f>
        <v>44409</v>
      </c>
      <c r="AP240" s="11">
        <f>AP$5+SUM(AS$5:AS239)-SUM(X$5:X240)+SUM(W$5:W240)</f>
        <v>101121.03047780249</v>
      </c>
      <c r="AQ240" s="10">
        <f>IF(AB240=1,-AP240*M240/12,0)</f>
        <v>-36.23503592121256</v>
      </c>
      <c r="AR240" s="10">
        <f>IF(AB240=1,IF(Q240="tak",AQ240,PMT(M240/12,P240+1-SUM(AB$5:AB240),AP240)),0)</f>
        <v>-545.0916020854149</v>
      </c>
      <c r="AS240" s="10">
        <f>AR240-AQ240</f>
        <v>-508.8565661642024</v>
      </c>
      <c r="AT240" s="10">
        <f>AR240*C240</f>
        <v>-2314.731488255715</v>
      </c>
      <c r="AV240" s="11">
        <f>AV$5+SUM(AX$5:AX239)+SUM(W$5:W239)-SUM(X$5:X239)</f>
        <v>93593.60719148567</v>
      </c>
      <c r="AW240" s="11">
        <f>IF(AB240=1,-AP240*M240/12,0)</f>
        <v>-36.23503592121256</v>
      </c>
      <c r="AX240" s="11">
        <f>IF(AB240=1,IF(Q240="tak",0,ROUND(-AV240/(P240-K240+1),2)),0)</f>
        <v>-490.02</v>
      </c>
      <c r="AY240" s="11">
        <f>AX240+AW240</f>
        <v>-526.2550359212125</v>
      </c>
      <c r="AZ240" s="11">
        <f>AY240*C240</f>
        <v>-2234.7420100394293</v>
      </c>
      <c r="BB240" s="191">
        <f t="shared" si="259"/>
        <v>0.0021</v>
      </c>
      <c r="BC240" s="44">
        <f>BB240+Podsumowanie!$E$6</f>
        <v>0.0141</v>
      </c>
      <c r="BD240" s="11">
        <f>BD$5+SUM(BE$5:BE239)+SUM(R$5:R239)-SUM(S$5:S239)</f>
        <v>268981.20305596536</v>
      </c>
      <c r="BE240" s="10">
        <f>IF(BG240&lt;0,BG240-BF240,0)</f>
        <v>-1249.6734839899002</v>
      </c>
      <c r="BF240" s="10">
        <f>IF(BG240&lt;0,-BD240*BC240/12,0)</f>
        <v>-316.05291359075926</v>
      </c>
      <c r="BG240" s="10">
        <f>IF(U240&lt;0,PMT(BC240/12,Podsumowanie!E$8-SUM(AB$5:AB240)+1,BD240),0)</f>
        <v>-1565.7263975806595</v>
      </c>
      <c r="BI240" s="11">
        <f>BI$5+SUM(BK$5:BK239)+SUM(R$5:R239)-SUM(S$5:S239)</f>
        <v>212813.3704735379</v>
      </c>
      <c r="BJ240" s="11">
        <f t="shared" si="213"/>
        <v>-250.05571030640704</v>
      </c>
      <c r="BK240" s="11">
        <f t="shared" si="214"/>
        <v>-1114.2061281337064</v>
      </c>
      <c r="BL240" s="11">
        <f>BK240+BJ240</f>
        <v>-1364.2618384401135</v>
      </c>
      <c r="BN240" s="44">
        <f t="shared" si="260"/>
        <v>0.014199999999999999</v>
      </c>
      <c r="BO240" s="11">
        <f>BO$5+SUM(BP$5:BP239)+SUM(R$5:R239)-SUM(S$5:S239)+SUM(BS$5:BS239)</f>
        <v>259778.65235985914</v>
      </c>
      <c r="BP240" s="10">
        <f t="shared" si="269"/>
        <v>-1205.9235836383132</v>
      </c>
      <c r="BQ240" s="10">
        <f t="shared" si="270"/>
        <v>-307.4047386258333</v>
      </c>
      <c r="BR240" s="10">
        <f>IF(U240&lt;0,PMT(BN240/12,Podsumowanie!E$8-SUM(AB$5:AB240)+1,BO240),0)</f>
        <v>-1513.3283222641464</v>
      </c>
      <c r="BS240" s="10">
        <f t="shared" si="264"/>
        <v>-944.5824333063554</v>
      </c>
      <c r="BU240" s="11">
        <f>BU$5+SUM(BW$5:BW239)+SUM(R$5:R239)-SUM(S$5:S239)+SUM(BY$5,BY239)</f>
        <v>211814.34117208625</v>
      </c>
      <c r="BV240" s="10">
        <f t="shared" si="261"/>
        <v>-250.64697038696872</v>
      </c>
      <c r="BW240" s="10">
        <f t="shared" si="262"/>
        <v>-1108.9756082308181</v>
      </c>
      <c r="BX240" s="10">
        <f t="shared" si="271"/>
        <v>-1359.6225786177868</v>
      </c>
      <c r="BY240" s="10">
        <f t="shared" si="272"/>
        <v>-1098.288176952715</v>
      </c>
      <c r="CA240" s="10">
        <f>CA$5+SUM(CB$5:CB239)+SUM(R$5:R239)-SUM(S$5:S239)-SUM(CC$5:CC239)</f>
        <v>228331.99087782955</v>
      </c>
      <c r="CB240" s="10">
        <f t="shared" si="265"/>
        <v>250.64697038696872</v>
      </c>
      <c r="CC240" s="10">
        <f t="shared" si="266"/>
        <v>2457.910755570502</v>
      </c>
      <c r="CD240" s="10">
        <f t="shared" si="267"/>
        <v>2207.263785183533</v>
      </c>
      <c r="CF240" s="44">
        <f t="shared" si="263"/>
        <v>0.2787</v>
      </c>
      <c r="CG240" s="10">
        <f t="shared" si="268"/>
        <v>-685.02</v>
      </c>
      <c r="CH240" s="4">
        <f t="shared" si="273"/>
        <v>0</v>
      </c>
    </row>
    <row r="241" spans="1:86" ht="15.75">
      <c r="A241" s="36"/>
      <c r="B241" s="37">
        <v>44440</v>
      </c>
      <c r="C241" s="77">
        <f aca="true" t="shared" si="399" ref="C241">VLOOKUP(B241,Kursy,C$2)</f>
        <v>4.2043</v>
      </c>
      <c r="D241" s="79">
        <f>C241*(1+Podsumowanie!E$11)</f>
        <v>4.330429</v>
      </c>
      <c r="E241" s="34">
        <f>Z241</f>
        <v>-561.950105242696</v>
      </c>
      <c r="F241" s="7">
        <f>E241*D241</f>
        <v>-2433.485032296023</v>
      </c>
      <c r="G241" s="7">
        <f>U241</f>
        <v>-1239.429284821817</v>
      </c>
      <c r="H241" s="7">
        <f>G241-F241</f>
        <v>1194.0557474742059</v>
      </c>
      <c r="I241" s="32"/>
      <c r="K241" s="4">
        <f>IF(B241&lt;Podsumowanie!E$7,0,K240+1)</f>
        <v>171</v>
      </c>
      <c r="L241" s="100">
        <f aca="true" t="shared" si="400" ref="L241">VLOOKUP(B241,Oproc,C$2)</f>
        <v>-0.0077</v>
      </c>
      <c r="M241" s="38">
        <f>L241+Podsumowanie!E$6</f>
        <v>0.0043</v>
      </c>
      <c r="N241" s="101">
        <f>MAX(Podsumowanie!E$4+SUM(AA$5:AA240)-SUM(X$5:X241)+SUM(W$5:W241),0)</f>
        <v>103723.89063055495</v>
      </c>
      <c r="O241" s="102">
        <f>MAX(Podsumowanie!E$2+SUM(V$5:V240)-SUM(S$5:S241)+SUM(R$5:R241),0)</f>
        <v>228771.96104028317</v>
      </c>
      <c r="P241" s="39">
        <f t="shared" si="398"/>
        <v>360</v>
      </c>
      <c r="Q241" s="40" t="str">
        <f>IF(AND(K241&gt;0,K241&lt;=Podsumowanie!E$9),"tak","nie")</f>
        <v>nie</v>
      </c>
      <c r="R241" s="41"/>
      <c r="S241" s="42"/>
      <c r="T241" s="88">
        <f>IF(AB241=1,-O241*M241/12,0)</f>
        <v>-81.97661937276814</v>
      </c>
      <c r="U241" s="89">
        <f>IF(Q241="tak",T241,IF(P241-SUM(AB$5:AB241)+1&gt;0,IF(Podsumowanie!E$7&lt;B241,IF(SUM(AB$5:AB241)-Podsumowanie!E$9+1&gt;0,PMT(M241/12,P241+1-SUM(AB$5:AB241),O241),T241),0),0))</f>
        <v>-1239.429284821817</v>
      </c>
      <c r="V241" s="89">
        <f>U241-T241</f>
        <v>-1157.4526654490487</v>
      </c>
      <c r="W241" s="90" t="str">
        <f>IF(R241&gt;0,R241/(C241*(1-Podsumowanie!E$11))," ")</f>
        <v xml:space="preserve"> </v>
      </c>
      <c r="X241" s="90" t="str">
        <f>IF(S241&gt;0,S241/D241," ")</f>
        <v xml:space="preserve"> </v>
      </c>
      <c r="Y241" s="91">
        <f>IF(AB241=1,-N241*M241/12,0)</f>
        <v>-37.16772747594886</v>
      </c>
      <c r="Z241" s="90">
        <f>IF(P241-SUM(AB$5:AB241)+1&gt;0,IF(Podsumowanie!E$7&lt;B241,IF(SUM(AB$5:AB241)-Podsumowanie!E$9+1&gt;0,PMT(M241/12,P241+1-SUM(AB$5:AB241),N241),Y241),0),0)</f>
        <v>-561.950105242696</v>
      </c>
      <c r="AA241" s="90">
        <f>Z241-Y241</f>
        <v>-524.7823777667472</v>
      </c>
      <c r="AB241" s="8">
        <f>IF(AND(Podsumowanie!E$7&lt;B241,SUM(AB$5:AB240)&lt;P240),1," ")</f>
        <v>1</v>
      </c>
      <c r="AD241" s="10">
        <f>Podsumowanie!E$4-SUM(AF$5:AF240)+SUM(W$42:W241)-SUM(X$42:X241)</f>
        <v>95983.24813555244</v>
      </c>
      <c r="AE241" s="10">
        <f>IF(AB241=1,ROUND(AD241*M241/12,2),0)</f>
        <v>34.39</v>
      </c>
      <c r="AF241" s="10">
        <f>IF(Q241="tak",0,IF(AB241=1,ROUND(AD241/(P241-K241+1),2),0))</f>
        <v>505.17</v>
      </c>
      <c r="AG241" s="10">
        <f>AF241+AE241</f>
        <v>539.5600000000001</v>
      </c>
      <c r="AH241" s="10">
        <f>ROUND(AG241*D241,2)</f>
        <v>2336.53</v>
      </c>
      <c r="AI241" s="10">
        <f>Podsumowanie!E$2-SUM(AK$5:AK240)+SUM(R$42:R241)-SUM(S$42:S241)</f>
        <v>211698.94999999975</v>
      </c>
      <c r="AJ241" s="10">
        <f>IF(AB241=1,ROUND(AI241*M241/12,2),0)</f>
        <v>75.86</v>
      </c>
      <c r="AK241" s="10">
        <f>IF(Q241="tak",0,IF(AB241=1,ROUND(AI241/(P241-K241+1),2),0))</f>
        <v>1114.21</v>
      </c>
      <c r="AL241" s="10">
        <f>AK241+AJ241</f>
        <v>1190.07</v>
      </c>
      <c r="AM241" s="10">
        <f>AH241-AL241</f>
        <v>1146.4600000000003</v>
      </c>
      <c r="AO241" s="43">
        <f>B241</f>
        <v>44440</v>
      </c>
      <c r="AP241" s="11">
        <f>AP$5+SUM(AS$5:AS240)-SUM(X$5:X241)+SUM(W$5:W241)</f>
        <v>100612.17391163828</v>
      </c>
      <c r="AQ241" s="10">
        <f>IF(AB241=1,-AP241*M241/12,0)</f>
        <v>-36.05269565167038</v>
      </c>
      <c r="AR241" s="10">
        <f>IF(AB241=1,IF(Q241="tak",AQ241,PMT(M241/12,P241+1-SUM(AB$5:AB241),AP241)),0)</f>
        <v>-545.091602085415</v>
      </c>
      <c r="AS241" s="10">
        <f>AR241-AQ241</f>
        <v>-509.03890643374467</v>
      </c>
      <c r="AT241" s="10">
        <f>AR241*C241</f>
        <v>-2291.7286226477104</v>
      </c>
      <c r="AV241" s="11">
        <f>AV$5+SUM(AX$5:AX240)+SUM(W$5:W240)-SUM(X$5:X240)</f>
        <v>93103.58719148567</v>
      </c>
      <c r="AW241" s="11">
        <f>IF(AB241=1,-AP241*M241/12,0)</f>
        <v>-36.05269565167038</v>
      </c>
      <c r="AX241" s="11">
        <f>IF(AB241=1,IF(Q241="tak",0,ROUND(-AV241/(P241-K241+1),2)),0)</f>
        <v>-490.02</v>
      </c>
      <c r="AY241" s="11">
        <f>AX241+AW241</f>
        <v>-526.0726956516704</v>
      </c>
      <c r="AZ241" s="11">
        <f>AY241*C241</f>
        <v>-2211.767434328318</v>
      </c>
      <c r="BB241" s="191">
        <f t="shared" si="259"/>
        <v>0.0024</v>
      </c>
      <c r="BC241" s="44">
        <f>BB241+Podsumowanie!$E$6</f>
        <v>0.0144</v>
      </c>
      <c r="BD241" s="11">
        <f>BD$5+SUM(BE$5:BE240)+SUM(R$5:R240)-SUM(S$5:S240)</f>
        <v>267731.52957197546</v>
      </c>
      <c r="BE241" s="10">
        <f>IF(BG241&lt;0,BG241-BF241,0)</f>
        <v>-1248.0650839359269</v>
      </c>
      <c r="BF241" s="10">
        <f>IF(BG241&lt;0,-BD241*BC241/12,0)</f>
        <v>-321.2778354863705</v>
      </c>
      <c r="BG241" s="10">
        <f>IF(U241&lt;0,PMT(BC241/12,Podsumowanie!E$8-SUM(AB$5:AB241)+1,BD241),0)</f>
        <v>-1569.3429194222974</v>
      </c>
      <c r="BI241" s="11">
        <f>BI$5+SUM(BK$5:BK240)+SUM(R$5:R240)-SUM(S$5:S240)</f>
        <v>211699.16434540422</v>
      </c>
      <c r="BJ241" s="11">
        <f t="shared" si="213"/>
        <v>-254.03899721448508</v>
      </c>
      <c r="BK241" s="11">
        <f t="shared" si="214"/>
        <v>-1114.2061281337064</v>
      </c>
      <c r="BL241" s="11">
        <f>BK241+BJ241</f>
        <v>-1368.2451253481916</v>
      </c>
      <c r="BN241" s="44">
        <f t="shared" si="260"/>
        <v>0.014499999999999999</v>
      </c>
      <c r="BO241" s="11">
        <f>BO$5+SUM(BP$5:BP240)+SUM(R$5:R240)-SUM(S$5:S240)+SUM(BS$5:BS240)</f>
        <v>257628.1463429145</v>
      </c>
      <c r="BP241" s="10">
        <f aca="true" t="shared" si="401" ref="BP241">IF(BR241&lt;0,BR241-BQ241,0)</f>
        <v>-1199.9811037954958</v>
      </c>
      <c r="BQ241" s="10">
        <f aca="true" t="shared" si="402" ref="BQ241">IF(BR241&lt;0,-BO241*BN241/12,0)</f>
        <v>-311.3006768310217</v>
      </c>
      <c r="BR241" s="10">
        <f>IF(U241&lt;0,PMT(BN241/12,Podsumowanie!E$8-SUM(AB$5:AB241)+1,BO241),0)</f>
        <v>-1511.2817806265175</v>
      </c>
      <c r="BS241" s="10">
        <f t="shared" si="264"/>
        <v>-922.2032516695053</v>
      </c>
      <c r="BU241" s="11">
        <f>BU$5+SUM(BW$5:BW240)+SUM(R$5:R240)-SUM(S$5:S240)+SUM(BY$5,BY240)</f>
        <v>210678.71298419853</v>
      </c>
      <c r="BV241" s="10">
        <f t="shared" si="261"/>
        <v>-254.57011152257323</v>
      </c>
      <c r="BW241" s="10">
        <f t="shared" si="262"/>
        <v>-1108.8353314957817</v>
      </c>
      <c r="BX241" s="10">
        <f aca="true" t="shared" si="403" ref="BX241">BW241+BV241</f>
        <v>-1363.4054430183548</v>
      </c>
      <c r="BY241" s="10">
        <f t="shared" si="272"/>
        <v>-1070.079589277668</v>
      </c>
      <c r="CA241" s="10">
        <f>CA$5+SUM(CB$5:CB240)+SUM(R$5:R240)-SUM(S$5:S240)-SUM(CC$5:CC240)</f>
        <v>226124.727092646</v>
      </c>
      <c r="CB241" s="10">
        <f t="shared" si="265"/>
        <v>254.57011152257323</v>
      </c>
      <c r="CC241" s="10">
        <f t="shared" si="266"/>
        <v>2433.485032296023</v>
      </c>
      <c r="CD241" s="10">
        <f t="shared" si="267"/>
        <v>2178.9149207734495</v>
      </c>
      <c r="CF241" s="44">
        <f t="shared" si="263"/>
        <v>0.2698</v>
      </c>
      <c r="CG241" s="10">
        <f t="shared" si="268"/>
        <v>-656.55</v>
      </c>
      <c r="CH241" s="4">
        <f t="shared" si="273"/>
        <v>0</v>
      </c>
    </row>
    <row r="242" spans="1:86" ht="15.75">
      <c r="A242" s="36"/>
      <c r="B242" s="37">
        <v>44470</v>
      </c>
      <c r="C242" s="77">
        <f aca="true" t="shared" si="404" ref="C242">VLOOKUP(B242,Kursy,C$2)</f>
        <v>4.2895</v>
      </c>
      <c r="D242" s="79">
        <f>C242*(1+Podsumowanie!E$11)</f>
        <v>4.418185</v>
      </c>
      <c r="E242" s="34">
        <f aca="true" t="shared" si="405" ref="E242">Z242</f>
        <v>-561.9501052426959</v>
      </c>
      <c r="F242" s="7">
        <f aca="true" t="shared" si="406" ref="F242">E242*D242</f>
        <v>-2482.7995257317007</v>
      </c>
      <c r="G242" s="7">
        <f aca="true" t="shared" si="407" ref="G242">U242</f>
        <v>-1239.429284821817</v>
      </c>
      <c r="H242" s="7">
        <f aca="true" t="shared" si="408" ref="H242">G242-F242</f>
        <v>1243.3702409098837</v>
      </c>
      <c r="I242" s="32"/>
      <c r="K242" s="4">
        <f>IF(B242&lt;Podsumowanie!E$7,0,K241+1)</f>
        <v>172</v>
      </c>
      <c r="L242" s="100">
        <f aca="true" t="shared" si="409" ref="L242">VLOOKUP(B242,Oproc,C$2)</f>
        <v>-0.0077</v>
      </c>
      <c r="M242" s="38">
        <f>L242+Podsumowanie!E$6</f>
        <v>0.0043</v>
      </c>
      <c r="N242" s="101">
        <f>MAX(Podsumowanie!E$4+SUM(AA$5:AA241)-SUM(X$5:X242)+SUM(W$5:W242),0)</f>
        <v>103199.1082527882</v>
      </c>
      <c r="O242" s="102">
        <f>MAX(Podsumowanie!E$2+SUM(V$5:V241)-SUM(S$5:S242)+SUM(R$5:R242),0)</f>
        <v>227614.5083748341</v>
      </c>
      <c r="P242" s="39">
        <f t="shared" si="398"/>
        <v>360</v>
      </c>
      <c r="Q242" s="40" t="str">
        <f>IF(AND(K242&gt;0,K242&lt;=Podsumowanie!E$9),"tak","nie")</f>
        <v>nie</v>
      </c>
      <c r="R242" s="41"/>
      <c r="S242" s="42"/>
      <c r="T242" s="88">
        <f aca="true" t="shared" si="410" ref="T242">IF(AB242=1,-O242*M242/12,0)</f>
        <v>-81.56186550098222</v>
      </c>
      <c r="U242" s="89">
        <f>IF(Q242="tak",T242,IF(P242-SUM(AB$5:AB242)+1&gt;0,IF(Podsumowanie!E$7&lt;B242,IF(SUM(AB$5:AB242)-Podsumowanie!E$9+1&gt;0,PMT(M242/12,P242+1-SUM(AB$5:AB242),O242),T242),0),0))</f>
        <v>-1239.429284821817</v>
      </c>
      <c r="V242" s="89">
        <f aca="true" t="shared" si="411" ref="V242">U242-T242</f>
        <v>-1157.8674193208346</v>
      </c>
      <c r="W242" s="90" t="str">
        <f>IF(R242&gt;0,R242/(C242*(1-Podsumowanie!E$11))," ")</f>
        <v xml:space="preserve"> </v>
      </c>
      <c r="X242" s="90" t="str">
        <f aca="true" t="shared" si="412" ref="X242">IF(S242&gt;0,S242/D242," ")</f>
        <v xml:space="preserve"> </v>
      </c>
      <c r="Y242" s="91">
        <f aca="true" t="shared" si="413" ref="Y242">IF(AB242=1,-N242*M242/12,0)</f>
        <v>-36.9796804572491</v>
      </c>
      <c r="Z242" s="90">
        <f>IF(P242-SUM(AB$5:AB242)+1&gt;0,IF(Podsumowanie!E$7&lt;B242,IF(SUM(AB$5:AB242)-Podsumowanie!E$9+1&gt;0,PMT(M242/12,P242+1-SUM(AB$5:AB242),N242),Y242),0),0)</f>
        <v>-561.9501052426959</v>
      </c>
      <c r="AA242" s="90">
        <f aca="true" t="shared" si="414" ref="AA242">Z242-Y242</f>
        <v>-524.9704247854469</v>
      </c>
      <c r="AB242" s="8">
        <f>IF(AND(Podsumowanie!E$7&lt;B242,SUM(AB$5:AB241)&lt;P241),1," ")</f>
        <v>1</v>
      </c>
      <c r="AD242" s="10">
        <f>Podsumowanie!E$4-SUM(AF$5:AF241)+SUM(W$42:W242)-SUM(X$42:X242)</f>
        <v>95478.07813555244</v>
      </c>
      <c r="AE242" s="10">
        <f aca="true" t="shared" si="415" ref="AE242">IF(AB242=1,ROUND(AD242*M242/12,2),0)</f>
        <v>34.21</v>
      </c>
      <c r="AF242" s="10">
        <f aca="true" t="shared" si="416" ref="AF242">IF(Q242="tak",0,IF(AB242=1,ROUND(AD242/(P242-K242+1),2),0))</f>
        <v>505.18</v>
      </c>
      <c r="AG242" s="10">
        <f aca="true" t="shared" si="417" ref="AG242">AF242+AE242</f>
        <v>539.39</v>
      </c>
      <c r="AH242" s="10">
        <f aca="true" t="shared" si="418" ref="AH242">ROUND(AG242*D242,2)</f>
        <v>2383.12</v>
      </c>
      <c r="AI242" s="10">
        <f>Podsumowanie!E$2-SUM(AK$5:AK241)+SUM(R$42:R242)-SUM(S$42:S242)</f>
        <v>210584.73999999976</v>
      </c>
      <c r="AJ242" s="10">
        <f aca="true" t="shared" si="419" ref="AJ242">IF(AB242=1,ROUND(AI242*M242/12,2),0)</f>
        <v>75.46</v>
      </c>
      <c r="AK242" s="10">
        <f aca="true" t="shared" si="420" ref="AK242">IF(Q242="tak",0,IF(AB242=1,ROUND(AI242/(P242-K242+1),2),0))</f>
        <v>1114.2</v>
      </c>
      <c r="AL242" s="10">
        <f aca="true" t="shared" si="421" ref="AL242">AK242+AJ242</f>
        <v>1189.66</v>
      </c>
      <c r="AM242" s="10">
        <f aca="true" t="shared" si="422" ref="AM242">AH242-AL242</f>
        <v>1193.4599999999998</v>
      </c>
      <c r="AO242" s="43">
        <f aca="true" t="shared" si="423" ref="AO242">B242</f>
        <v>44470</v>
      </c>
      <c r="AP242" s="11">
        <f>AP$5+SUM(AS$5:AS241)-SUM(X$5:X242)+SUM(W$5:W242)</f>
        <v>100103.13500520453</v>
      </c>
      <c r="AQ242" s="10">
        <f aca="true" t="shared" si="424" ref="AQ242">IF(AB242=1,-AP242*M242/12,0)</f>
        <v>-35.870290043531625</v>
      </c>
      <c r="AR242" s="10">
        <f>IF(AB242=1,IF(Q242="tak",AQ242,PMT(M242/12,P242+1-SUM(AB$5:AB242),AP242)),0)</f>
        <v>-545.0916020854149</v>
      </c>
      <c r="AS242" s="10">
        <f aca="true" t="shared" si="425" ref="AS242">AR242-AQ242</f>
        <v>-509.2213120418833</v>
      </c>
      <c r="AT242" s="10">
        <f aca="true" t="shared" si="426" ref="AT242">AR242*C242</f>
        <v>-2338.1704271453877</v>
      </c>
      <c r="AV242" s="11">
        <f>AV$5+SUM(AX$5:AX241)+SUM(W$5:W241)-SUM(X$5:X241)</f>
        <v>92613.56719148566</v>
      </c>
      <c r="AW242" s="11">
        <f aca="true" t="shared" si="427" ref="AW242">IF(AB242=1,-AP242*M242/12,0)</f>
        <v>-35.870290043531625</v>
      </c>
      <c r="AX242" s="11">
        <f aca="true" t="shared" si="428" ref="AX242">IF(AB242=1,IF(Q242="tak",0,ROUND(-AV242/(P242-K242+1),2)),0)</f>
        <v>-490.02</v>
      </c>
      <c r="AY242" s="11">
        <f aca="true" t="shared" si="429" ref="AY242">AX242+AW242</f>
        <v>-525.8902900435316</v>
      </c>
      <c r="AZ242" s="11">
        <f aca="true" t="shared" si="430" ref="AZ242">AY242*C242</f>
        <v>-2255.8063991417293</v>
      </c>
      <c r="BB242" s="191">
        <f t="shared" si="259"/>
        <v>0.0061</v>
      </c>
      <c r="BC242" s="44">
        <f>BB242+Podsumowanie!$E$6</f>
        <v>0.0181</v>
      </c>
      <c r="BD242" s="11">
        <f>BD$5+SUM(BE$5:BE241)+SUM(R$5:R241)-SUM(S$5:S241)</f>
        <v>266483.46448803955</v>
      </c>
      <c r="BE242" s="10">
        <f aca="true" t="shared" si="431" ref="BE242">IF(BG242&lt;0,BG242-BF242,0)</f>
        <v>-1212.208023198111</v>
      </c>
      <c r="BF242" s="10">
        <f aca="true" t="shared" si="432" ref="BF242">IF(BG242&lt;0,-BD242*BC242/12,0)</f>
        <v>-401.94589226945965</v>
      </c>
      <c r="BG242" s="10">
        <f>IF(U242&lt;0,PMT(BC242/12,Podsumowanie!E$8-SUM(AB$5:AB242)+1,BD242),0)</f>
        <v>-1614.1539154675706</v>
      </c>
      <c r="BI242" s="11">
        <f>BI$5+SUM(BK$5:BK241)+SUM(R$5:R241)-SUM(S$5:S241)</f>
        <v>210584.95821727053</v>
      </c>
      <c r="BJ242" s="11">
        <f aca="true" t="shared" si="433" ref="BJ242">IF(AB242=1,-BC242*BI242/12,0)</f>
        <v>-317.63231197771637</v>
      </c>
      <c r="BK242" s="11">
        <f aca="true" t="shared" si="434" ref="BK242">IF(AB242=1,-BI242/(P242-K242+1),0)</f>
        <v>-1114.2061281337064</v>
      </c>
      <c r="BL242" s="11">
        <f aca="true" t="shared" si="435" ref="BL242">BK242+BJ242</f>
        <v>-1431.8384401114229</v>
      </c>
      <c r="BN242" s="44">
        <f t="shared" si="260"/>
        <v>0.0182</v>
      </c>
      <c r="BO242" s="11">
        <f>BO$5+SUM(BP$5:BP241)+SUM(R$5:R241)-SUM(S$5:S241)+SUM(BS$5:BS241)</f>
        <v>255505.9619874495</v>
      </c>
      <c r="BP242" s="10">
        <f aca="true" t="shared" si="436" ref="BP242">IF(BR242&lt;0,BR242-BQ242,0)</f>
        <v>-1161.314982895577</v>
      </c>
      <c r="BQ242" s="10">
        <f aca="true" t="shared" si="437" ref="BQ242">IF(BR242&lt;0,-BO242*BN242/12,0)</f>
        <v>-387.51737568096513</v>
      </c>
      <c r="BR242" s="10">
        <f>IF(U242&lt;0,PMT(BN242/12,Podsumowanie!E$8-SUM(AB$5:AB242)+1,BO242),0)</f>
        <v>-1548.8323585765422</v>
      </c>
      <c r="BS242" s="10">
        <f t="shared" si="264"/>
        <v>-933.9671671551584</v>
      </c>
      <c r="BU242" s="11">
        <f>BU$5+SUM(BW$5:BW241)+SUM(R$5:R241)-SUM(S$5:S241)+SUM(BY$5,BY241)</f>
        <v>209598.08624037777</v>
      </c>
      <c r="BV242" s="10">
        <f t="shared" si="261"/>
        <v>-317.8904307979063</v>
      </c>
      <c r="BW242" s="10">
        <f t="shared" si="262"/>
        <v>-1108.9845832824221</v>
      </c>
      <c r="BX242" s="10">
        <f aca="true" t="shared" si="438" ref="BX242">BW242+BV242</f>
        <v>-1426.8750140803284</v>
      </c>
      <c r="BY242" s="10">
        <f aca="true" t="shared" si="439" ref="BY242">$F242-BX242</f>
        <v>-1055.9245116513723</v>
      </c>
      <c r="CA242" s="10">
        <f>CA$5+SUM(CB$5:CB241)+SUM(R$5:R241)-SUM(S$5:S241)-SUM(CC$5:CC241)</f>
        <v>223945.81217187253</v>
      </c>
      <c r="CB242" s="10">
        <f t="shared" si="265"/>
        <v>317.8904307979063</v>
      </c>
      <c r="CC242" s="10">
        <f t="shared" si="266"/>
        <v>2482.7995257317007</v>
      </c>
      <c r="CD242" s="10">
        <f t="shared" si="267"/>
        <v>2164.909094933794</v>
      </c>
      <c r="CF242" s="44">
        <f t="shared" si="263"/>
        <v>0.256</v>
      </c>
      <c r="CG242" s="10">
        <f t="shared" si="268"/>
        <v>-635.6</v>
      </c>
      <c r="CH242" s="4">
        <f t="shared" si="273"/>
        <v>0</v>
      </c>
    </row>
    <row r="243" spans="1:86" ht="15.75">
      <c r="A243" s="36"/>
      <c r="B243" s="37">
        <v>44501</v>
      </c>
      <c r="C243" s="77">
        <f aca="true" t="shared" si="440" ref="C243">VLOOKUP(B243,Kursy,C$2)</f>
        <v>4.4221</v>
      </c>
      <c r="D243" s="79">
        <f>C243*(1+Podsumowanie!E$11)</f>
        <v>4.554763</v>
      </c>
      <c r="E243" s="34">
        <f aca="true" t="shared" si="441" ref="E243">Z243</f>
        <v>-561.9501052426959</v>
      </c>
      <c r="F243" s="7">
        <f aca="true" t="shared" si="442" ref="F243">E243*D243</f>
        <v>-2559.5495472055377</v>
      </c>
      <c r="G243" s="7">
        <f aca="true" t="shared" si="443" ref="G243">U243</f>
        <v>-1239.429284821817</v>
      </c>
      <c r="H243" s="7">
        <f aca="true" t="shared" si="444" ref="H243">G243-F243</f>
        <v>1320.1202623837207</v>
      </c>
      <c r="I243" s="32"/>
      <c r="K243" s="4">
        <f>IF(B243&lt;Podsumowanie!E$7,0,K242+1)</f>
        <v>173</v>
      </c>
      <c r="L243" s="100">
        <f aca="true" t="shared" si="445" ref="L243">VLOOKUP(B243,Oproc,C$2)</f>
        <v>-0.0077</v>
      </c>
      <c r="M243" s="38">
        <f>L243+Podsumowanie!E$6</f>
        <v>0.0043</v>
      </c>
      <c r="N243" s="101">
        <f>MAX(Podsumowanie!E$4+SUM(AA$5:AA242)-SUM(X$5:X243)+SUM(W$5:W243),0)</f>
        <v>102674.13782800274</v>
      </c>
      <c r="O243" s="102">
        <f>MAX(Podsumowanie!E$2+SUM(V$5:V242)-SUM(S$5:S243)+SUM(R$5:R243),0)</f>
        <v>226456.64095551329</v>
      </c>
      <c r="P243" s="39">
        <f t="shared" si="398"/>
        <v>360</v>
      </c>
      <c r="Q243" s="40" t="str">
        <f>IF(AND(K243&gt;0,K243&lt;=Podsumowanie!E$9),"tak","nie")</f>
        <v>nie</v>
      </c>
      <c r="R243" s="41"/>
      <c r="S243" s="42"/>
      <c r="T243" s="88">
        <f aca="true" t="shared" si="446" ref="T243">IF(AB243=1,-O243*M243/12,0)</f>
        <v>-81.14696300905892</v>
      </c>
      <c r="U243" s="89">
        <f>IF(Q243="tak",T243,IF(P243-SUM(AB$5:AB243)+1&gt;0,IF(Podsumowanie!E$7&lt;B243,IF(SUM(AB$5:AB243)-Podsumowanie!E$9+1&gt;0,PMT(M243/12,P243+1-SUM(AB$5:AB243),O243),T243),0),0))</f>
        <v>-1239.429284821817</v>
      </c>
      <c r="V243" s="89">
        <f aca="true" t="shared" si="447" ref="V243">U243-T243</f>
        <v>-1158.282321812758</v>
      </c>
      <c r="W243" s="90" t="str">
        <f>IF(R243&gt;0,R243/(C243*(1-Podsumowanie!E$11))," ")</f>
        <v xml:space="preserve"> </v>
      </c>
      <c r="X243" s="90" t="str">
        <f aca="true" t="shared" si="448" ref="X243">IF(S243&gt;0,S243/D243," ")</f>
        <v xml:space="preserve"> </v>
      </c>
      <c r="Y243" s="91">
        <f aca="true" t="shared" si="449" ref="Y243">IF(AB243=1,-N243*M243/12,0)</f>
        <v>-36.791566055034316</v>
      </c>
      <c r="Z243" s="90">
        <f>IF(P243-SUM(AB$5:AB243)+1&gt;0,IF(Podsumowanie!E$7&lt;B243,IF(SUM(AB$5:AB243)-Podsumowanie!E$9+1&gt;0,PMT(M243/12,P243+1-SUM(AB$5:AB243),N243),Y243),0),0)</f>
        <v>-561.9501052426959</v>
      </c>
      <c r="AA243" s="90">
        <f aca="true" t="shared" si="450" ref="AA243">Z243-Y243</f>
        <v>-525.1585391876616</v>
      </c>
      <c r="AB243" s="8">
        <f>IF(AND(Podsumowanie!E$7&lt;B243,SUM(AB$5:AB242)&lt;P242),1," ")</f>
        <v>1</v>
      </c>
      <c r="AD243" s="10">
        <f>Podsumowanie!E$4-SUM(AF$5:AF242)+SUM(W$42:W243)-SUM(X$42:X243)</f>
        <v>94972.89813555244</v>
      </c>
      <c r="AE243" s="10">
        <f aca="true" t="shared" si="451" ref="AE243">IF(AB243=1,ROUND(AD243*M243/12,2),0)</f>
        <v>34.03</v>
      </c>
      <c r="AF243" s="10">
        <f aca="true" t="shared" si="452" ref="AF243">IF(Q243="tak",0,IF(AB243=1,ROUND(AD243/(P243-K243+1),2),0))</f>
        <v>505.17</v>
      </c>
      <c r="AG243" s="10">
        <f aca="true" t="shared" si="453" ref="AG243">AF243+AE243</f>
        <v>539.2</v>
      </c>
      <c r="AH243" s="10">
        <f aca="true" t="shared" si="454" ref="AH243">ROUND(AG243*D243,2)</f>
        <v>2455.93</v>
      </c>
      <c r="AI243" s="10">
        <f>Podsumowanie!E$2-SUM(AK$5:AK242)+SUM(R$42:R243)-SUM(S$42:S243)</f>
        <v>209470.53999999975</v>
      </c>
      <c r="AJ243" s="10">
        <f aca="true" t="shared" si="455" ref="AJ243">IF(AB243=1,ROUND(AI243*M243/12,2),0)</f>
        <v>75.06</v>
      </c>
      <c r="AK243" s="10">
        <f aca="true" t="shared" si="456" ref="AK243">IF(Q243="tak",0,IF(AB243=1,ROUND(AI243/(P243-K243+1),2),0))</f>
        <v>1114.21</v>
      </c>
      <c r="AL243" s="10">
        <f aca="true" t="shared" si="457" ref="AL243">AK243+AJ243</f>
        <v>1189.27</v>
      </c>
      <c r="AM243" s="10">
        <f aca="true" t="shared" si="458" ref="AM243">AH243-AL243</f>
        <v>1266.6599999999999</v>
      </c>
      <c r="AO243" s="43">
        <f aca="true" t="shared" si="459" ref="AO243">B243</f>
        <v>44501</v>
      </c>
      <c r="AP243" s="11">
        <f>AP$5+SUM(AS$5:AS242)-SUM(X$5:X243)+SUM(W$5:W243)</f>
        <v>99593.91369316264</v>
      </c>
      <c r="AQ243" s="10">
        <f aca="true" t="shared" si="460" ref="AQ243">IF(AB243=1,-AP243*M243/12,0)</f>
        <v>-35.68781907338328</v>
      </c>
      <c r="AR243" s="10">
        <f>IF(AB243=1,IF(Q243="tak",AQ243,PMT(M243/12,P243+1-SUM(AB$5:AB243),AP243)),0)</f>
        <v>-545.0916020854149</v>
      </c>
      <c r="AS243" s="10">
        <f aca="true" t="shared" si="461" ref="AS243">AR243-AQ243</f>
        <v>-509.4037830120317</v>
      </c>
      <c r="AT243" s="10">
        <f aca="true" t="shared" si="462" ref="AT243">AR243*C243</f>
        <v>-2410.4495735819137</v>
      </c>
      <c r="AV243" s="11">
        <f>AV$5+SUM(AX$5:AX242)+SUM(W$5:W242)-SUM(X$5:X242)</f>
        <v>92123.54719148566</v>
      </c>
      <c r="AW243" s="11">
        <f aca="true" t="shared" si="463" ref="AW243">IF(AB243=1,-AP243*M243/12,0)</f>
        <v>-35.68781907338328</v>
      </c>
      <c r="AX243" s="11">
        <f aca="true" t="shared" si="464" ref="AX243">IF(AB243=1,IF(Q243="tak",0,ROUND(-AV243/(P243-K243+1),2)),0)</f>
        <v>-490.02</v>
      </c>
      <c r="AY243" s="11">
        <f aca="true" t="shared" si="465" ref="AY243">AX243+AW243</f>
        <v>-525.7078190733832</v>
      </c>
      <c r="AZ243" s="11">
        <f aca="true" t="shared" si="466" ref="AZ243">AY243*C243</f>
        <v>-2324.732546724408</v>
      </c>
      <c r="BB243" s="191">
        <f t="shared" si="259"/>
        <v>0.0159</v>
      </c>
      <c r="BC243" s="44">
        <f>BB243+Podsumowanie!$E$6</f>
        <v>0.0279</v>
      </c>
      <c r="BD243" s="11">
        <f>BD$5+SUM(BE$5:BE242)+SUM(R$5:R242)-SUM(S$5:S242)</f>
        <v>265271.2564648414</v>
      </c>
      <c r="BE243" s="10">
        <f aca="true" t="shared" si="467" ref="BE243">IF(BG243&lt;0,BG243-BF243,0)</f>
        <v>-1119.2912906912911</v>
      </c>
      <c r="BF243" s="10">
        <f aca="true" t="shared" si="468" ref="BF243">IF(BG243&lt;0,-BD243*BC243/12,0)</f>
        <v>-616.7556712807564</v>
      </c>
      <c r="BG243" s="10">
        <f>IF(U243&lt;0,PMT(BC243/12,Podsumowanie!E$8-SUM(AB$5:AB243)+1,BD243),0)</f>
        <v>-1736.0469619720475</v>
      </c>
      <c r="BI243" s="11">
        <f>BI$5+SUM(BK$5:BK242)+SUM(R$5:R242)-SUM(S$5:S242)</f>
        <v>209470.75208913683</v>
      </c>
      <c r="BJ243" s="11">
        <f aca="true" t="shared" si="469" ref="BJ243">IF(AB243=1,-BC243*BI243/12,0)</f>
        <v>-487.0194986072431</v>
      </c>
      <c r="BK243" s="11">
        <f aca="true" t="shared" si="470" ref="BK243">IF(AB243=1,-BI243/(P243-K243+1),0)</f>
        <v>-1114.2061281337067</v>
      </c>
      <c r="BL243" s="11">
        <f aca="true" t="shared" si="471" ref="BL243">BK243+BJ243</f>
        <v>-1601.2256267409498</v>
      </c>
      <c r="BN243" s="44">
        <f t="shared" si="260"/>
        <v>0.028</v>
      </c>
      <c r="BO243" s="11">
        <f>BO$5+SUM(BP$5:BP242)+SUM(R$5:R242)-SUM(S$5:S242)+SUM(BS$5:BS242)</f>
        <v>253410.67983739875</v>
      </c>
      <c r="BP243" s="10">
        <f aca="true" t="shared" si="472" ref="BP243">IF(BR243&lt;0,BR243-BQ243,0)</f>
        <v>-1068.3498981620614</v>
      </c>
      <c r="BQ243" s="10">
        <f aca="true" t="shared" si="473" ref="BQ243">IF(BR243&lt;0,-BO243*BN243/12,0)</f>
        <v>-591.2915862872638</v>
      </c>
      <c r="BR243" s="10">
        <f>IF(U243&lt;0,PMT(BN243/12,Podsumowanie!E$8-SUM(AB$5:AB243)+1,BO243),0)</f>
        <v>-1659.6414844493254</v>
      </c>
      <c r="BS243" s="10">
        <f t="shared" si="264"/>
        <v>-899.9080627562123</v>
      </c>
      <c r="BU243" s="11">
        <f>BU$5+SUM(BW$5:BW242)+SUM(R$5:R242)-SUM(S$5:S242)+SUM(BY$5,BY242)</f>
        <v>208503.25673472165</v>
      </c>
      <c r="BV243" s="10">
        <f t="shared" si="261"/>
        <v>-486.50759904768387</v>
      </c>
      <c r="BW243" s="10">
        <f t="shared" si="262"/>
        <v>-1109.0598762485195</v>
      </c>
      <c r="BX243" s="10">
        <f aca="true" t="shared" si="474" ref="BX243">BW243+BV243</f>
        <v>-1595.5674752962034</v>
      </c>
      <c r="BY243" s="10">
        <f aca="true" t="shared" si="475" ref="BY243">$F243-BX243</f>
        <v>-963.9820719093343</v>
      </c>
      <c r="CA243" s="10">
        <f>CA$5+SUM(CB$5:CB242)+SUM(R$5:R242)-SUM(S$5:S242)-SUM(CC$5:CC242)</f>
        <v>221780.90307693876</v>
      </c>
      <c r="CB243" s="10">
        <f t="shared" si="265"/>
        <v>486.50759904768387</v>
      </c>
      <c r="CC243" s="10">
        <f t="shared" si="266"/>
        <v>2559.5495472055377</v>
      </c>
      <c r="CD243" s="10">
        <f t="shared" si="267"/>
        <v>2073.0419481578538</v>
      </c>
      <c r="CF243" s="44">
        <f t="shared" si="263"/>
        <v>0.2436</v>
      </c>
      <c r="CG243" s="10">
        <f t="shared" si="268"/>
        <v>-623.51</v>
      </c>
      <c r="CH243" s="4">
        <f t="shared" si="273"/>
        <v>0</v>
      </c>
    </row>
    <row r="244" spans="1:86" ht="15.75">
      <c r="A244" s="36"/>
      <c r="B244" s="37">
        <v>44531</v>
      </c>
      <c r="C244" s="77">
        <f aca="true" t="shared" si="476" ref="C244">VLOOKUP(B244,Kursy,C$2)</f>
        <v>4.4354</v>
      </c>
      <c r="D244" s="79">
        <f>C244*(1+Podsumowanie!E$11)</f>
        <v>4.568461999999999</v>
      </c>
      <c r="E244" s="34">
        <f aca="true" t="shared" si="477" ref="E244">Z244</f>
        <v>-561.9501052426959</v>
      </c>
      <c r="F244" s="7">
        <f aca="true" t="shared" si="478" ref="F244">E244*D244</f>
        <v>-2567.2477016972566</v>
      </c>
      <c r="G244" s="7">
        <f aca="true" t="shared" si="479" ref="G244">U244</f>
        <v>-1239.4292848218167</v>
      </c>
      <c r="H244" s="7">
        <f aca="true" t="shared" si="480" ref="H244">G244-F244</f>
        <v>1327.8184168754399</v>
      </c>
      <c r="I244" s="32"/>
      <c r="K244" s="4">
        <f>IF(B244&lt;Podsumowanie!E$7,0,K243+1)</f>
        <v>174</v>
      </c>
      <c r="L244" s="100">
        <f aca="true" t="shared" si="481" ref="L244">VLOOKUP(B244,Oproc,C$2)</f>
        <v>-0.0077</v>
      </c>
      <c r="M244" s="38">
        <f>L244+Podsumowanie!E$6</f>
        <v>0.0043</v>
      </c>
      <c r="N244" s="101">
        <f>MAX(Podsumowanie!E$4+SUM(AA$5:AA243)-SUM(X$5:X244)+SUM(W$5:W244),0)</f>
        <v>102148.97928881508</v>
      </c>
      <c r="O244" s="102">
        <f>MAX(Podsumowanie!E$2+SUM(V$5:V243)-SUM(S$5:S244)+SUM(R$5:R244),0)</f>
        <v>225298.35863370053</v>
      </c>
      <c r="P244" s="39">
        <f t="shared" si="398"/>
        <v>360</v>
      </c>
      <c r="Q244" s="40" t="str">
        <f>IF(AND(K244&gt;0,K244&lt;=Podsumowanie!E$9),"tak","nie")</f>
        <v>nie</v>
      </c>
      <c r="R244" s="41"/>
      <c r="S244" s="42"/>
      <c r="T244" s="88">
        <f aca="true" t="shared" si="482" ref="T244">IF(AB244=1,-O244*M244/12,0)</f>
        <v>-80.73191184374268</v>
      </c>
      <c r="U244" s="89">
        <f>IF(Q244="tak",T244,IF(P244-SUM(AB$5:AB244)+1&gt;0,IF(Podsumowanie!E$7&lt;B244,IF(SUM(AB$5:AB244)-Podsumowanie!E$9+1&gt;0,PMT(M244/12,P244+1-SUM(AB$5:AB244),O244),T244),0),0))</f>
        <v>-1239.4292848218167</v>
      </c>
      <c r="V244" s="89">
        <f aca="true" t="shared" si="483" ref="V244">U244-T244</f>
        <v>-1158.697372978074</v>
      </c>
      <c r="W244" s="90" t="str">
        <f>IF(R244&gt;0,R244/(C244*(1-Podsumowanie!E$11))," ")</f>
        <v xml:space="preserve"> </v>
      </c>
      <c r="X244" s="90" t="str">
        <f aca="true" t="shared" si="484" ref="X244">IF(S244&gt;0,S244/D244," ")</f>
        <v xml:space="preserve"> </v>
      </c>
      <c r="Y244" s="91">
        <f aca="true" t="shared" si="485" ref="Y244">IF(AB244=1,-N244*M244/12,0)</f>
        <v>-36.60338424515874</v>
      </c>
      <c r="Z244" s="90">
        <f>IF(P244-SUM(AB$5:AB244)+1&gt;0,IF(Podsumowanie!E$7&lt;B244,IF(SUM(AB$5:AB244)-Podsumowanie!E$9+1&gt;0,PMT(M244/12,P244+1-SUM(AB$5:AB244),N244),Y244),0),0)</f>
        <v>-561.9501052426959</v>
      </c>
      <c r="AA244" s="90">
        <f aca="true" t="shared" si="486" ref="AA244">Z244-Y244</f>
        <v>-525.3467209975372</v>
      </c>
      <c r="AB244" s="8">
        <f>IF(AND(Podsumowanie!E$7&lt;B244,SUM(AB$5:AB243)&lt;P243),1," ")</f>
        <v>1</v>
      </c>
      <c r="AD244" s="10">
        <f>Podsumowanie!E$4-SUM(AF$5:AF243)+SUM(W$42:W244)-SUM(X$42:X244)</f>
        <v>94467.72813555245</v>
      </c>
      <c r="AE244" s="10">
        <f aca="true" t="shared" si="487" ref="AE244">IF(AB244=1,ROUND(AD244*M244/12,2),0)</f>
        <v>33.85</v>
      </c>
      <c r="AF244" s="10">
        <f aca="true" t="shared" si="488" ref="AF244">IF(Q244="tak",0,IF(AB244=1,ROUND(AD244/(P244-K244+1),2),0))</f>
        <v>505.18</v>
      </c>
      <c r="AG244" s="10">
        <f aca="true" t="shared" si="489" ref="AG244">AF244+AE244</f>
        <v>539.03</v>
      </c>
      <c r="AH244" s="10">
        <f aca="true" t="shared" si="490" ref="AH244">ROUND(AG244*D244,2)</f>
        <v>2462.54</v>
      </c>
      <c r="AI244" s="10">
        <f>Podsumowanie!E$2-SUM(AK$5:AK243)+SUM(R$42:R244)-SUM(S$42:S244)</f>
        <v>208356.32999999975</v>
      </c>
      <c r="AJ244" s="10">
        <f aca="true" t="shared" si="491" ref="AJ244">IF(AB244=1,ROUND(AI244*M244/12,2),0)</f>
        <v>74.66</v>
      </c>
      <c r="AK244" s="10">
        <f aca="true" t="shared" si="492" ref="AK244">IF(Q244="tak",0,IF(AB244=1,ROUND(AI244/(P244-K244+1),2),0))</f>
        <v>1114.2</v>
      </c>
      <c r="AL244" s="10">
        <f aca="true" t="shared" si="493" ref="AL244">AK244+AJ244</f>
        <v>1188.8600000000001</v>
      </c>
      <c r="AM244" s="10">
        <f aca="true" t="shared" si="494" ref="AM244">AH244-AL244</f>
        <v>1273.6799999999998</v>
      </c>
      <c r="AO244" s="43">
        <f aca="true" t="shared" si="495" ref="AO244">B244</f>
        <v>44531</v>
      </c>
      <c r="AP244" s="11">
        <f>AP$5+SUM(AS$5:AS243)-SUM(X$5:X244)+SUM(W$5:W244)</f>
        <v>99084.5099101506</v>
      </c>
      <c r="AQ244" s="10">
        <f aca="true" t="shared" si="496" ref="AQ244">IF(AB244=1,-AP244*M244/12,0)</f>
        <v>-35.505282717803965</v>
      </c>
      <c r="AR244" s="10">
        <f>IF(AB244=1,IF(Q244="tak",AQ244,PMT(M244/12,P244+1-SUM(AB$5:AB244),AP244)),0)</f>
        <v>-545.0916020854148</v>
      </c>
      <c r="AS244" s="10">
        <f aca="true" t="shared" si="497" ref="AS244">AR244-AQ244</f>
        <v>-509.5863193676108</v>
      </c>
      <c r="AT244" s="10">
        <f aca="true" t="shared" si="498" ref="AT244">AR244*C244</f>
        <v>-2417.6992918896485</v>
      </c>
      <c r="AV244" s="11">
        <f>AV$5+SUM(AX$5:AX243)+SUM(W$5:W243)-SUM(X$5:X243)</f>
        <v>91633.52719148566</v>
      </c>
      <c r="AW244" s="11">
        <f aca="true" t="shared" si="499" ref="AW244">IF(AB244=1,-AP244*M244/12,0)</f>
        <v>-35.505282717803965</v>
      </c>
      <c r="AX244" s="11">
        <f aca="true" t="shared" si="500" ref="AX244">IF(AB244=1,IF(Q244="tak",0,ROUND(-AV244/(P244-K244+1),2)),0)</f>
        <v>-490.02</v>
      </c>
      <c r="AY244" s="11">
        <f aca="true" t="shared" si="501" ref="AY244">AX244+AW244</f>
        <v>-525.525282717804</v>
      </c>
      <c r="AZ244" s="11">
        <f aca="true" t="shared" si="502" ref="AZ244">AY244*C244</f>
        <v>-2330.9148389665474</v>
      </c>
      <c r="BB244" s="191">
        <f t="shared" si="259"/>
        <v>0.0234</v>
      </c>
      <c r="BC244" s="44">
        <f>BB244+Podsumowanie!$E$6</f>
        <v>0.0354</v>
      </c>
      <c r="BD244" s="11">
        <f>BD$5+SUM(BE$5:BE243)+SUM(R$5:R243)-SUM(S$5:S243)</f>
        <v>264151.96517415013</v>
      </c>
      <c r="BE244" s="10">
        <f aca="true" t="shared" si="503" ref="BE244">IF(BG244&lt;0,BG244-BF244,0)</f>
        <v>-1053.2897136132242</v>
      </c>
      <c r="BF244" s="10">
        <f aca="true" t="shared" si="504" ref="BF244">IF(BG244&lt;0,-BD244*BC244/12,0)</f>
        <v>-779.248297263743</v>
      </c>
      <c r="BG244" s="10">
        <f>IF(U244&lt;0,PMT(BC244/12,Podsumowanie!E$8-SUM(AB$5:AB244)+1,BD244),0)</f>
        <v>-1832.538010876967</v>
      </c>
      <c r="BI244" s="11">
        <f>BI$5+SUM(BK$5:BK243)+SUM(R$5:R243)-SUM(S$5:S243)</f>
        <v>208356.54596100314</v>
      </c>
      <c r="BJ244" s="11">
        <f aca="true" t="shared" si="505" ref="BJ244">IF(AB244=1,-BC244*BI244/12,0)</f>
        <v>-614.6518105849592</v>
      </c>
      <c r="BK244" s="11">
        <f aca="true" t="shared" si="506" ref="BK244">IF(AB244=1,-BI244/(P244-K244+1),0)</f>
        <v>-1114.2061281337067</v>
      </c>
      <c r="BL244" s="11">
        <f aca="true" t="shared" si="507" ref="BL244">BK244+BJ244</f>
        <v>-1728.857938718666</v>
      </c>
      <c r="BN244" s="44">
        <f t="shared" si="260"/>
        <v>0.035500000000000004</v>
      </c>
      <c r="BO244" s="11">
        <f>BO$5+SUM(BP$5:BP243)+SUM(R$5:R243)-SUM(S$5:S243)+SUM(BS$5:BS243)</f>
        <v>251442.42187648048</v>
      </c>
      <c r="BP244" s="10">
        <f aca="true" t="shared" si="508" ref="BP244">IF(BR244&lt;0,BR244-BQ244,0)</f>
        <v>-1001.7606458161649</v>
      </c>
      <c r="BQ244" s="10">
        <f aca="true" t="shared" si="509" ref="BQ244">IF(BR244&lt;0,-BO244*BN244/12,0)</f>
        <v>-743.8504980512548</v>
      </c>
      <c r="BR244" s="10">
        <f>IF(U244&lt;0,PMT(BN244/12,Podsumowanie!E$8-SUM(AB$5:AB244)+1,BO244),0)</f>
        <v>-1745.6111438674197</v>
      </c>
      <c r="BS244" s="10">
        <f t="shared" si="264"/>
        <v>-821.6365578298369</v>
      </c>
      <c r="BU244" s="11">
        <f>BU$5+SUM(BW$5:BW243)+SUM(R$5:R243)-SUM(S$5:S243)+SUM(BY$5,BY243)</f>
        <v>207486.13929821516</v>
      </c>
      <c r="BV244" s="10">
        <f t="shared" si="261"/>
        <v>-613.8131620905532</v>
      </c>
      <c r="BW244" s="10">
        <f t="shared" si="262"/>
        <v>-1109.551547049279</v>
      </c>
      <c r="BX244" s="10">
        <f aca="true" t="shared" si="510" ref="BX244">BW244+BV244</f>
        <v>-1723.364709139832</v>
      </c>
      <c r="BY244" s="10">
        <f aca="true" t="shared" si="511" ref="BY244">$F244-BX244</f>
        <v>-843.8829925574246</v>
      </c>
      <c r="CA244" s="10">
        <f>CA$5+SUM(CB$5:CB243)+SUM(R$5:R243)-SUM(S$5:S243)-SUM(CC$5:CC243)</f>
        <v>219707.86112878082</v>
      </c>
      <c r="CB244" s="10">
        <f t="shared" si="265"/>
        <v>613.8131620905532</v>
      </c>
      <c r="CC244" s="10">
        <f t="shared" si="266"/>
        <v>2567.2477016972566</v>
      </c>
      <c r="CD244" s="10">
        <f t="shared" si="267"/>
        <v>1953.4345396067033</v>
      </c>
      <c r="CF244" s="44">
        <f t="shared" si="263"/>
        <v>0.2325</v>
      </c>
      <c r="CG244" s="10">
        <f t="shared" si="268"/>
        <v>-596.89</v>
      </c>
      <c r="CH244" s="4">
        <f t="shared" si="273"/>
        <v>0</v>
      </c>
    </row>
    <row r="245" spans="1:86" ht="15.75">
      <c r="A245" s="36">
        <v>2022</v>
      </c>
      <c r="B245" s="37">
        <v>44562</v>
      </c>
      <c r="C245" s="77">
        <f aca="true" t="shared" si="512" ref="C245">VLOOKUP(B245,Kursy,C$2)</f>
        <v>4.3818</v>
      </c>
      <c r="D245" s="79">
        <f>C245*(1+Podsumowanie!E$11)</f>
        <v>4.513254</v>
      </c>
      <c r="E245" s="34">
        <f aca="true" t="shared" si="513" ref="E245">Z245</f>
        <v>-561.9501052426959</v>
      </c>
      <c r="F245" s="7">
        <f aca="true" t="shared" si="514" ref="F245">E245*D245</f>
        <v>-2536.2235602870182</v>
      </c>
      <c r="G245" s="7">
        <f aca="true" t="shared" si="515" ref="G245">U245</f>
        <v>-1239.4292848218167</v>
      </c>
      <c r="H245" s="7">
        <f aca="true" t="shared" si="516" ref="H245">G245-F245</f>
        <v>1296.7942754652015</v>
      </c>
      <c r="I245" s="32"/>
      <c r="K245" s="4">
        <f>IF(B245&lt;Podsumowanie!E$7,0,K244+1)</f>
        <v>175</v>
      </c>
      <c r="L245" s="100">
        <f aca="true" t="shared" si="517" ref="L245">VLOOKUP(B245,Oproc,C$2)</f>
        <v>-0.0077</v>
      </c>
      <c r="M245" s="38">
        <f>L245+Podsumowanie!E$6</f>
        <v>0.0043</v>
      </c>
      <c r="N245" s="101">
        <f>MAX(Podsumowanie!E$4+SUM(AA$5:AA244)-SUM(X$5:X245)+SUM(W$5:W245),0)</f>
        <v>101623.63256781755</v>
      </c>
      <c r="O245" s="102">
        <f>MAX(Podsumowanie!E$2+SUM(V$5:V244)-SUM(S$5:S245)+SUM(R$5:R245),0)</f>
        <v>224139.66126072244</v>
      </c>
      <c r="P245" s="39">
        <f t="shared" si="398"/>
        <v>360</v>
      </c>
      <c r="Q245" s="40" t="str">
        <f>IF(AND(K245&gt;0,K245&lt;=Podsumowanie!E$9),"tak","nie")</f>
        <v>nie</v>
      </c>
      <c r="R245" s="41"/>
      <c r="S245" s="42"/>
      <c r="T245" s="88">
        <f aca="true" t="shared" si="518" ref="T245">IF(AB245=1,-O245*M245/12,0)</f>
        <v>-80.31671195175888</v>
      </c>
      <c r="U245" s="89">
        <f>IF(Q245="tak",T245,IF(P245-SUM(AB$5:AB245)+1&gt;0,IF(Podsumowanie!E$7&lt;B245,IF(SUM(AB$5:AB245)-Podsumowanie!E$9+1&gt;0,PMT(M245/12,P245+1-SUM(AB$5:AB245),O245),T245),0),0))</f>
        <v>-1239.4292848218167</v>
      </c>
      <c r="V245" s="89">
        <f aca="true" t="shared" si="519" ref="V245">U245-T245</f>
        <v>-1159.1125728700579</v>
      </c>
      <c r="W245" s="90" t="str">
        <f>IF(R245&gt;0,R245/(C245*(1-Podsumowanie!E$11))," ")</f>
        <v xml:space="preserve"> </v>
      </c>
      <c r="X245" s="90" t="str">
        <f aca="true" t="shared" si="520" ref="X245">IF(S245&gt;0,S245/D245," ")</f>
        <v xml:space="preserve"> </v>
      </c>
      <c r="Y245" s="91">
        <f aca="true" t="shared" si="521" ref="Y245">IF(AB245=1,-N245*M245/12,0)</f>
        <v>-36.41513500346796</v>
      </c>
      <c r="Z245" s="90">
        <f>IF(P245-SUM(AB$5:AB245)+1&gt;0,IF(Podsumowanie!E$7&lt;B245,IF(SUM(AB$5:AB245)-Podsumowanie!E$9+1&gt;0,PMT(M245/12,P245+1-SUM(AB$5:AB245),N245),Y245),0),0)</f>
        <v>-561.9501052426959</v>
      </c>
      <c r="AA245" s="90">
        <f aca="true" t="shared" si="522" ref="AA245">Z245-Y245</f>
        <v>-525.534970239228</v>
      </c>
      <c r="AB245" s="8">
        <f>IF(AND(Podsumowanie!E$7&lt;B245,SUM(AB$5:AB244)&lt;P244),1," ")</f>
        <v>1</v>
      </c>
      <c r="AD245" s="10">
        <f>Podsumowanie!E$4-SUM(AF$5:AF244)+SUM(W$42:W245)-SUM(X$42:X245)</f>
        <v>93962.54813555245</v>
      </c>
      <c r="AE245" s="10">
        <f aca="true" t="shared" si="523" ref="AE245">IF(AB245=1,ROUND(AD245*M245/12,2),0)</f>
        <v>33.67</v>
      </c>
      <c r="AF245" s="10">
        <f aca="true" t="shared" si="524" ref="AF245">IF(Q245="tak",0,IF(AB245=1,ROUND(AD245/(P245-K245+1),2),0))</f>
        <v>505.17</v>
      </c>
      <c r="AG245" s="10">
        <f aca="true" t="shared" si="525" ref="AG245">AF245+AE245</f>
        <v>538.84</v>
      </c>
      <c r="AH245" s="10">
        <f aca="true" t="shared" si="526" ref="AH245">ROUND(AG245*D245,2)</f>
        <v>2431.92</v>
      </c>
      <c r="AI245" s="10">
        <f>Podsumowanie!E$2-SUM(AK$5:AK244)+SUM(R$42:R245)-SUM(S$42:S245)</f>
        <v>207242.12999999974</v>
      </c>
      <c r="AJ245" s="10">
        <f aca="true" t="shared" si="527" ref="AJ245">IF(AB245=1,ROUND(AI245*M245/12,2),0)</f>
        <v>74.26</v>
      </c>
      <c r="AK245" s="10">
        <f aca="true" t="shared" si="528" ref="AK245">IF(Q245="tak",0,IF(AB245=1,ROUND(AI245/(P245-K245+1),2),0))</f>
        <v>1114.21</v>
      </c>
      <c r="AL245" s="10">
        <f aca="true" t="shared" si="529" ref="AL245">AK245+AJ245</f>
        <v>1188.47</v>
      </c>
      <c r="AM245" s="10">
        <f aca="true" t="shared" si="530" ref="AM245">AH245-AL245</f>
        <v>1243.45</v>
      </c>
      <c r="AO245" s="43">
        <f aca="true" t="shared" si="531" ref="AO245">B245</f>
        <v>44562</v>
      </c>
      <c r="AP245" s="11">
        <f>AP$5+SUM(AS$5:AS244)-SUM(X$5:X245)+SUM(W$5:W245)</f>
        <v>98574.923590783</v>
      </c>
      <c r="AQ245" s="10">
        <f aca="true" t="shared" si="532" ref="AQ245">IF(AB245=1,-AP245*M245/12,0)</f>
        <v>-35.32268095336391</v>
      </c>
      <c r="AR245" s="10">
        <f>IF(AB245=1,IF(Q245="tak",AQ245,PMT(M245/12,P245+1-SUM(AB$5:AB245),AP245)),0)</f>
        <v>-545.0916020854149</v>
      </c>
      <c r="AS245" s="10">
        <f aca="true" t="shared" si="533" ref="AS245">AR245-AQ245</f>
        <v>-509.76892113205105</v>
      </c>
      <c r="AT245" s="10">
        <f aca="true" t="shared" si="534" ref="AT245">AR245*C245</f>
        <v>-2388.4823820178713</v>
      </c>
      <c r="AV245" s="11">
        <f>AV$5+SUM(AX$5:AX244)+SUM(W$5:W244)-SUM(X$5:X244)</f>
        <v>91143.50719148565</v>
      </c>
      <c r="AW245" s="11">
        <f aca="true" t="shared" si="535" ref="AW245">IF(AB245=1,-AP245*M245/12,0)</f>
        <v>-35.32268095336391</v>
      </c>
      <c r="AX245" s="11">
        <f aca="true" t="shared" si="536" ref="AX245">IF(AB245=1,IF(Q245="tak",0,ROUND(-AV245/(P245-K245+1),2)),0)</f>
        <v>-490.02</v>
      </c>
      <c r="AY245" s="11">
        <f aca="true" t="shared" si="537" ref="AY245">AX245+AW245</f>
        <v>-525.3426809533639</v>
      </c>
      <c r="AZ245" s="11">
        <f aca="true" t="shared" si="538" ref="AZ245">AY245*C245</f>
        <v>-2301.94655940145</v>
      </c>
      <c r="BB245" s="191">
        <f aca="true" t="shared" si="539" ref="BB245">VLOOKUP(B245,Oproc,5)</f>
        <v>0.0251</v>
      </c>
      <c r="BC245" s="44">
        <f>BB245+Podsumowanie!$E$6</f>
        <v>0.0371</v>
      </c>
      <c r="BD245" s="11">
        <f>BD$5+SUM(BE$5:BE244)+SUM(R$5:R244)-SUM(S$5:S244)</f>
        <v>263098.6754605369</v>
      </c>
      <c r="BE245" s="10">
        <f aca="true" t="shared" si="540" ref="BE245">IF(BG245&lt;0,BG245-BF245,0)</f>
        <v>-1041.324833869552</v>
      </c>
      <c r="BF245" s="10">
        <f aca="true" t="shared" si="541" ref="BF245">IF(BG245&lt;0,-BD245*BC245/12,0)</f>
        <v>-813.4134049654932</v>
      </c>
      <c r="BG245" s="10">
        <f>IF(U245&lt;0,PMT(BC245/12,Podsumowanie!E$8-SUM(AB$5:AB245)+1,BD245),0)</f>
        <v>-1854.7382388350454</v>
      </c>
      <c r="BI245" s="11">
        <f>BI$5+SUM(BK$5:BK244)+SUM(R$5:R244)-SUM(S$5:S244)</f>
        <v>207242.33983286945</v>
      </c>
      <c r="BJ245" s="11">
        <f aca="true" t="shared" si="542" ref="BJ245">IF(AB245=1,-BC245*BI245/12,0)</f>
        <v>-640.7242339832881</v>
      </c>
      <c r="BK245" s="11">
        <f aca="true" t="shared" si="543" ref="BK245">IF(AB245=1,-BI245/(P245-K245+1),0)</f>
        <v>-1114.2061281337067</v>
      </c>
      <c r="BL245" s="11">
        <f aca="true" t="shared" si="544" ref="BL245">BK245+BJ245</f>
        <v>-1754.9303621169947</v>
      </c>
      <c r="BN245" s="44">
        <f aca="true" t="shared" si="545" ref="BN245">BB245+$BN$4</f>
        <v>0.0372</v>
      </c>
      <c r="BO245" s="11">
        <f>BO$5+SUM(BP$5:BP244)+SUM(R$5:R244)-SUM(S$5:S244)+SUM(BS$5:BS244)</f>
        <v>249619.0246728345</v>
      </c>
      <c r="BP245" s="10">
        <f aca="true" t="shared" si="546" ref="BP245">IF(BR245&lt;0,BR245-BQ245,0)</f>
        <v>-987.1369036360801</v>
      </c>
      <c r="BQ245" s="10">
        <f aca="true" t="shared" si="547" ref="BQ245">IF(BR245&lt;0,-BO245*BN245/12,0)</f>
        <v>-773.818976485787</v>
      </c>
      <c r="BR245" s="10">
        <f>IF(U245&lt;0,PMT(BN245/12,Podsumowanie!E$8-SUM(AB$5:AB245)+1,BO245),0)</f>
        <v>-1760.955880121867</v>
      </c>
      <c r="BS245" s="10">
        <f aca="true" t="shared" si="548" ref="BS245">F245-BR245</f>
        <v>-775.2676801651512</v>
      </c>
      <c r="BU245" s="11">
        <f>BU$5+SUM(BW$5:BW244)+SUM(R$5:R244)-SUM(S$5:S244)+SUM(BY$5,BY244)</f>
        <v>206496.68683051778</v>
      </c>
      <c r="BV245" s="10">
        <f aca="true" t="shared" si="549" ref="BV245">IF(AB245=1,-BN245*BU245/12,0)</f>
        <v>-640.1397291746051</v>
      </c>
      <c r="BW245" s="10">
        <f aca="true" t="shared" si="550" ref="BW245">IF(AB245=1,-BU245/(P245-K245+1),0)</f>
        <v>-1110.197241024289</v>
      </c>
      <c r="BX245" s="10">
        <f aca="true" t="shared" si="551" ref="BX245">BW245+BV245</f>
        <v>-1750.336970198894</v>
      </c>
      <c r="BY245" s="10">
        <f aca="true" t="shared" si="552" ref="BY245">$F245-BX245</f>
        <v>-785.8865900881242</v>
      </c>
      <c r="CA245" s="10">
        <f>CA$5+SUM(CB$5:CB244)+SUM(R$5:R244)-SUM(S$5:S244)-SUM(CC$5:CC244)</f>
        <v>217754.42658917414</v>
      </c>
      <c r="CB245" s="10">
        <f t="shared" si="265"/>
        <v>640.1397291746051</v>
      </c>
      <c r="CC245" s="10">
        <f t="shared" si="266"/>
        <v>2536.2235602870182</v>
      </c>
      <c r="CD245" s="10">
        <f t="shared" si="267"/>
        <v>1896.083831112413</v>
      </c>
      <c r="CF245" s="44">
        <f t="shared" si="263"/>
        <v>0.2095</v>
      </c>
      <c r="CG245" s="10">
        <f t="shared" si="268"/>
        <v>-531.34</v>
      </c>
      <c r="CH245" s="4">
        <f t="shared" si="273"/>
        <v>0</v>
      </c>
    </row>
    <row r="246" spans="1:86" ht="15.75">
      <c r="A246" s="36"/>
      <c r="B246" s="37">
        <v>44593</v>
      </c>
      <c r="C246" s="77">
        <f aca="true" t="shared" si="553" ref="C246:C247">VLOOKUP(B246,Kursy,C$2)</f>
        <v>4.3506</v>
      </c>
      <c r="D246" s="79">
        <f>C246*(1+Podsumowanie!E$11)</f>
        <v>4.481118</v>
      </c>
      <c r="E246" s="34">
        <f aca="true" t="shared" si="554" ref="E246:E247">Z246</f>
        <v>-561.950105242696</v>
      </c>
      <c r="F246" s="7">
        <f aca="true" t="shared" si="555" ref="F246:F247">E246*D246</f>
        <v>-2518.16473170494</v>
      </c>
      <c r="G246" s="7">
        <f aca="true" t="shared" si="556" ref="G246:G247">U246</f>
        <v>-1239.4292848218167</v>
      </c>
      <c r="H246" s="7">
        <f aca="true" t="shared" si="557" ref="H246:H247">G246-F246</f>
        <v>1278.7354468831234</v>
      </c>
      <c r="I246" s="32"/>
      <c r="K246" s="4">
        <f>IF(B246&lt;Podsumowanie!E$7,0,K245+1)</f>
        <v>176</v>
      </c>
      <c r="L246" s="100">
        <f aca="true" t="shared" si="558" ref="L246:L247">VLOOKUP(B246,Oproc,C$2)</f>
        <v>-0.0077</v>
      </c>
      <c r="M246" s="38">
        <f>L246+Podsumowanie!E$6</f>
        <v>0.0043</v>
      </c>
      <c r="N246" s="101">
        <f>MAX(Podsumowanie!E$4+SUM(AA$5:AA245)-SUM(X$5:X246)+SUM(W$5:W246),0)</f>
        <v>101098.09759757832</v>
      </c>
      <c r="O246" s="102">
        <f>MAX(Podsumowanie!E$2+SUM(V$5:V245)-SUM(S$5:S246)+SUM(R$5:R246),0)</f>
        <v>222980.54868785237</v>
      </c>
      <c r="P246" s="39">
        <f t="shared" si="398"/>
        <v>360</v>
      </c>
      <c r="Q246" s="40" t="str">
        <f>IF(AND(K246&gt;0,K246&lt;=Podsumowanie!E$9),"tak","nie")</f>
        <v>nie</v>
      </c>
      <c r="R246" s="41"/>
      <c r="S246" s="42"/>
      <c r="T246" s="88">
        <f aca="true" t="shared" si="559" ref="T246:T247">IF(AB246=1,-O246*M246/12,0)</f>
        <v>-79.90136327981376</v>
      </c>
      <c r="U246" s="89">
        <f>IF(Q246="tak",T246,IF(P246-SUM(AB$5:AB246)+1&gt;0,IF(Podsumowanie!E$7&lt;B246,IF(SUM(AB$5:AB246)-Podsumowanie!E$9+1&gt;0,PMT(M246/12,P246+1-SUM(AB$5:AB246),O246),T246),0),0))</f>
        <v>-1239.4292848218167</v>
      </c>
      <c r="V246" s="89">
        <f aca="true" t="shared" si="560" ref="V246:V247">U246-T246</f>
        <v>-1159.527921542003</v>
      </c>
      <c r="W246" s="90" t="str">
        <f>IF(R246&gt;0,R246/(C246*(1-Podsumowanie!E$11))," ")</f>
        <v xml:space="preserve"> </v>
      </c>
      <c r="X246" s="90" t="str">
        <f aca="true" t="shared" si="561" ref="X246:X247">IF(S246&gt;0,S246/D246," ")</f>
        <v xml:space="preserve"> </v>
      </c>
      <c r="Y246" s="91">
        <f aca="true" t="shared" si="562" ref="Y246:Y247">IF(AB246=1,-N246*M246/12,0)</f>
        <v>-36.2268183057989</v>
      </c>
      <c r="Z246" s="90">
        <f>IF(P246-SUM(AB$5:AB246)+1&gt;0,IF(Podsumowanie!E$7&lt;B246,IF(SUM(AB$5:AB246)-Podsumowanie!E$9+1&gt;0,PMT(M246/12,P246+1-SUM(AB$5:AB246),N246),Y246),0),0)</f>
        <v>-561.950105242696</v>
      </c>
      <c r="AA246" s="90">
        <f aca="true" t="shared" si="563" ref="AA246:AA247">Z246-Y246</f>
        <v>-525.7232869368971</v>
      </c>
      <c r="AB246" s="8">
        <f>IF(AND(Podsumowanie!E$7&lt;B246,SUM(AB$5:AB245)&lt;P245),1," ")</f>
        <v>1</v>
      </c>
      <c r="AD246" s="10">
        <f>Podsumowanie!E$4-SUM(AF$5:AF245)+SUM(W$42:W246)-SUM(X$42:X246)</f>
        <v>93457.37813555246</v>
      </c>
      <c r="AE246" s="10">
        <f aca="true" t="shared" si="564" ref="AE246:AE247">IF(AB246=1,ROUND(AD246*M246/12,2),0)</f>
        <v>33.49</v>
      </c>
      <c r="AF246" s="10">
        <f aca="true" t="shared" si="565" ref="AF246:AF247">IF(Q246="tak",0,IF(AB246=1,ROUND(AD246/(P246-K246+1),2),0))</f>
        <v>505.18</v>
      </c>
      <c r="AG246" s="10">
        <f aca="true" t="shared" si="566" ref="AG246:AG247">AF246+AE246</f>
        <v>538.67</v>
      </c>
      <c r="AH246" s="10">
        <f aca="true" t="shared" si="567" ref="AH246:AH247">ROUND(AG246*D246,2)</f>
        <v>2413.84</v>
      </c>
      <c r="AI246" s="10">
        <f>Podsumowanie!E$2-SUM(AK$5:AK245)+SUM(R$42:R246)-SUM(S$42:S246)</f>
        <v>206127.91999999975</v>
      </c>
      <c r="AJ246" s="10">
        <f aca="true" t="shared" si="568" ref="AJ246:AJ247">IF(AB246=1,ROUND(AI246*M246/12,2),0)</f>
        <v>73.86</v>
      </c>
      <c r="AK246" s="10">
        <f aca="true" t="shared" si="569" ref="AK246:AK247">IF(Q246="tak",0,IF(AB246=1,ROUND(AI246/(P246-K246+1),2),0))</f>
        <v>1114.2</v>
      </c>
      <c r="AL246" s="10">
        <f aca="true" t="shared" si="570" ref="AL246:AL247">AK246+AJ246</f>
        <v>1188.06</v>
      </c>
      <c r="AM246" s="10">
        <f aca="true" t="shared" si="571" ref="AM246:AM247">AH246-AL246</f>
        <v>1225.7800000000002</v>
      </c>
      <c r="AO246" s="43">
        <f aca="true" t="shared" si="572" ref="AO246:AO247">B246</f>
        <v>44593</v>
      </c>
      <c r="AP246" s="11">
        <f>AP$5+SUM(AS$5:AS245)-SUM(X$5:X246)+SUM(W$5:W246)</f>
        <v>98065.15466965095</v>
      </c>
      <c r="AQ246" s="10">
        <f aca="true" t="shared" si="573" ref="AQ246:AQ247">IF(AB246=1,-AP246*M246/12,0)</f>
        <v>-35.140013756624924</v>
      </c>
      <c r="AR246" s="10">
        <f>IF(AB246=1,IF(Q246="tak",AQ246,PMT(M246/12,P246+1-SUM(AB$5:AB246),AP246)),0)</f>
        <v>-545.0916020854149</v>
      </c>
      <c r="AS246" s="10">
        <f aca="true" t="shared" si="574" ref="AS246:AS247">AR246-AQ246</f>
        <v>-509.95158832879</v>
      </c>
      <c r="AT246" s="10">
        <f aca="true" t="shared" si="575" ref="AT246:AT247">AR246*C246</f>
        <v>-2371.4755240328063</v>
      </c>
      <c r="AV246" s="11">
        <f>AV$5+SUM(AX$5:AX245)+SUM(W$5:W245)-SUM(X$5:X245)</f>
        <v>90653.48719148565</v>
      </c>
      <c r="AW246" s="11">
        <f aca="true" t="shared" si="576" ref="AW246:AW247">IF(AB246=1,-AP246*M246/12,0)</f>
        <v>-35.140013756624924</v>
      </c>
      <c r="AX246" s="11">
        <f aca="true" t="shared" si="577" ref="AX246:AX247">IF(AB246=1,IF(Q246="tak",0,ROUND(-AV246/(P246-K246+1),2)),0)</f>
        <v>-490.02</v>
      </c>
      <c r="AY246" s="11">
        <f aca="true" t="shared" si="578" ref="AY246:AY247">AX246+AW246</f>
        <v>-525.160013756625</v>
      </c>
      <c r="AZ246" s="11">
        <f aca="true" t="shared" si="579" ref="AZ246:AZ247">AY246*C246</f>
        <v>-2284.7611558495723</v>
      </c>
      <c r="BB246" s="191">
        <f aca="true" t="shared" si="580" ref="BB246:BB247">VLOOKUP(B246,Oproc,5)</f>
        <v>0.03331</v>
      </c>
      <c r="BC246" s="44">
        <f>BB246+Podsumowanie!$E$6</f>
        <v>0.04531</v>
      </c>
      <c r="BD246" s="11">
        <f>BD$5+SUM(BE$5:BE245)+SUM(R$5:R245)-SUM(S$5:S245)</f>
        <v>262057.35062666735</v>
      </c>
      <c r="BE246" s="10">
        <f aca="true" t="shared" si="581" ref="BE246:BE247">IF(BG246&lt;0,BG246-BF246,0)</f>
        <v>-974.1593460661746</v>
      </c>
      <c r="BF246" s="10">
        <f aca="true" t="shared" si="582" ref="BF246:BF247">IF(BG246&lt;0,-BD246*BC246/12,0)</f>
        <v>-989.4848797411915</v>
      </c>
      <c r="BG246" s="10">
        <f>IF(U246&lt;0,PMT(BC246/12,Podsumowanie!E$8-SUM(AB$5:AB246)+1,BD246),0)</f>
        <v>-1963.6442258073662</v>
      </c>
      <c r="BI246" s="11">
        <f>BI$5+SUM(BK$5:BK245)+SUM(R$5:R245)-SUM(S$5:S245)</f>
        <v>206128.13370473575</v>
      </c>
      <c r="BJ246" s="11">
        <f aca="true" t="shared" si="583" ref="BJ246:BJ247">IF(AB246=1,-BC246*BI246/12,0)</f>
        <v>-778.3054781801314</v>
      </c>
      <c r="BK246" s="11">
        <f aca="true" t="shared" si="584" ref="BK246:BK247">IF(AB246=1,-BI246/(P246-K246+1),0)</f>
        <v>-1114.2061281337067</v>
      </c>
      <c r="BL246" s="11">
        <f aca="true" t="shared" si="585" ref="BL246:BL247">BK246+BJ246</f>
        <v>-1892.511606313838</v>
      </c>
      <c r="BN246" s="44">
        <f aca="true" t="shared" si="586" ref="BN246:BN247">BB246+$BN$4</f>
        <v>0.04541</v>
      </c>
      <c r="BO246" s="11">
        <f>BO$5+SUM(BP$5:BP245)+SUM(R$5:R245)-SUM(S$5:S245)+SUM(BS$5:BS245)</f>
        <v>247856.62008903327</v>
      </c>
      <c r="BP246" s="10">
        <f aca="true" t="shared" si="587" ref="BP246:BP247">IF(BR246&lt;0,BR246-BQ246,0)</f>
        <v>-920.5805019604006</v>
      </c>
      <c r="BQ246" s="10">
        <f aca="true" t="shared" si="588" ref="BQ246:BQ247">IF(BR246&lt;0,-BO246*BN246/12,0)</f>
        <v>-937.9307598535834</v>
      </c>
      <c r="BR246" s="10">
        <f>IF(U246&lt;0,PMT(BN246/12,Podsumowanie!E$8-SUM(AB$5:AB246)+1,BO246),0)</f>
        <v>-1858.511261813984</v>
      </c>
      <c r="BS246" s="10">
        <f aca="true" t="shared" si="589" ref="BS246:BS247">F246-BR246</f>
        <v>-659.6534698909561</v>
      </c>
      <c r="BU246" s="11">
        <f>BU$5+SUM(BW$5:BW245)+SUM(R$5:R245)-SUM(S$5:S245)+SUM(BY$5,BY245)</f>
        <v>205444.48599196278</v>
      </c>
      <c r="BV246" s="10">
        <f aca="true" t="shared" si="590" ref="BV246:BV247">IF(AB246=1,-BN246*BU246/12,0)</f>
        <v>-777.4361757412524</v>
      </c>
      <c r="BW246" s="10">
        <f aca="true" t="shared" si="591" ref="BW246:BW247">IF(AB246=1,-BU246/(P246-K246+1),0)</f>
        <v>-1110.5107350916908</v>
      </c>
      <c r="BX246" s="10">
        <f aca="true" t="shared" si="592" ref="BX246:BX247">BW246+BV246</f>
        <v>-1887.946910832943</v>
      </c>
      <c r="BY246" s="10">
        <f aca="true" t="shared" si="593" ref="BY246:BY247">$F246-BX246</f>
        <v>-630.217820871997</v>
      </c>
      <c r="CA246" s="10">
        <f>CA$5+SUM(CB$5:CB245)+SUM(R$5:R245)-SUM(S$5:S245)-SUM(CC$5:CC245)</f>
        <v>215858.34275806166</v>
      </c>
      <c r="CB246" s="10">
        <f t="shared" si="265"/>
        <v>777.4361757412524</v>
      </c>
      <c r="CC246" s="10">
        <f t="shared" si="266"/>
        <v>2518.16473170494</v>
      </c>
      <c r="CD246" s="10">
        <f t="shared" si="267"/>
        <v>1740.7285559636875</v>
      </c>
      <c r="CF246" s="44">
        <f t="shared" si="263"/>
        <v>0.2131</v>
      </c>
      <c r="CG246" s="10">
        <f t="shared" si="268"/>
        <v>-536.62</v>
      </c>
      <c r="CH246" s="4">
        <f t="shared" si="273"/>
        <v>0</v>
      </c>
    </row>
    <row r="247" spans="1:86" ht="15.75">
      <c r="A247" s="36"/>
      <c r="B247" s="37">
        <v>44621</v>
      </c>
      <c r="C247" s="77">
        <f t="shared" si="553"/>
        <v>4.6498</v>
      </c>
      <c r="D247" s="79">
        <f>C247*(1+Podsumowanie!E$11)</f>
        <v>4.789294</v>
      </c>
      <c r="E247" s="34">
        <f t="shared" si="554"/>
        <v>-561.9501052426958</v>
      </c>
      <c r="F247" s="7">
        <f t="shared" si="555"/>
        <v>-2691.3442673382115</v>
      </c>
      <c r="G247" s="7">
        <f t="shared" si="556"/>
        <v>-1239.4292848218165</v>
      </c>
      <c r="H247" s="7">
        <f t="shared" si="557"/>
        <v>1451.914982516395</v>
      </c>
      <c r="I247" s="32"/>
      <c r="K247" s="4">
        <f>IF(B247&lt;Podsumowanie!E$7,0,K246+1)</f>
        <v>177</v>
      </c>
      <c r="L247" s="100">
        <f t="shared" si="558"/>
        <v>-0.0077</v>
      </c>
      <c r="M247" s="38">
        <f>L247+Podsumowanie!E$6</f>
        <v>0.0043</v>
      </c>
      <c r="N247" s="101">
        <f>MAX(Podsumowanie!E$4+SUM(AA$5:AA246)-SUM(X$5:X247)+SUM(W$5:W247),0)</f>
        <v>100572.37431064142</v>
      </c>
      <c r="O247" s="102">
        <f>MAX(Podsumowanie!E$2+SUM(V$5:V246)-SUM(S$5:S247)+SUM(R$5:R247),0)</f>
        <v>221821.02076631036</v>
      </c>
      <c r="P247" s="39">
        <f t="shared" si="398"/>
        <v>360</v>
      </c>
      <c r="Q247" s="40" t="str">
        <f>IF(AND(K247&gt;0,K247&lt;=Podsumowanie!E$9),"tak","nie")</f>
        <v>nie</v>
      </c>
      <c r="R247" s="41"/>
      <c r="S247" s="42"/>
      <c r="T247" s="88">
        <f t="shared" si="559"/>
        <v>-79.48586577459454</v>
      </c>
      <c r="U247" s="89">
        <f>IF(Q247="tak",T247,IF(P247-SUM(AB$5:AB247)+1&gt;0,IF(Podsumowanie!E$7&lt;B247,IF(SUM(AB$5:AB247)-Podsumowanie!E$9+1&gt;0,PMT(M247/12,P247+1-SUM(AB$5:AB247),O247),T247),0),0))</f>
        <v>-1239.4292848218165</v>
      </c>
      <c r="V247" s="89">
        <f t="shared" si="560"/>
        <v>-1159.943419047222</v>
      </c>
      <c r="W247" s="90" t="str">
        <f>IF(R247&gt;0,R247/(C247*(1-Podsumowanie!E$11))," ")</f>
        <v xml:space="preserve"> </v>
      </c>
      <c r="X247" s="90" t="str">
        <f t="shared" si="561"/>
        <v xml:space="preserve"> </v>
      </c>
      <c r="Y247" s="91">
        <f t="shared" si="562"/>
        <v>-36.03843412797984</v>
      </c>
      <c r="Z247" s="90">
        <f>IF(P247-SUM(AB$5:AB247)+1&gt;0,IF(Podsumowanie!E$7&lt;B247,IF(SUM(AB$5:AB247)-Podsumowanie!E$9+1&gt;0,PMT(M247/12,P247+1-SUM(AB$5:AB247),N247),Y247),0),0)</f>
        <v>-561.9501052426958</v>
      </c>
      <c r="AA247" s="90">
        <f t="shared" si="563"/>
        <v>-525.911671114716</v>
      </c>
      <c r="AB247" s="8">
        <f>IF(AND(Podsumowanie!E$7&lt;B247,SUM(AB$5:AB246)&lt;P246),1," ")</f>
        <v>1</v>
      </c>
      <c r="AD247" s="10">
        <f>Podsumowanie!E$4-SUM(AF$5:AF246)+SUM(W$42:W247)-SUM(X$42:X247)</f>
        <v>92952.19813555246</v>
      </c>
      <c r="AE247" s="10">
        <f t="shared" si="564"/>
        <v>33.31</v>
      </c>
      <c r="AF247" s="10">
        <f t="shared" si="565"/>
        <v>505.17</v>
      </c>
      <c r="AG247" s="10">
        <f t="shared" si="566"/>
        <v>538.48</v>
      </c>
      <c r="AH247" s="10">
        <f t="shared" si="567"/>
        <v>2578.94</v>
      </c>
      <c r="AI247" s="10">
        <f>Podsumowanie!E$2-SUM(AK$5:AK246)+SUM(R$42:R247)-SUM(S$42:S247)</f>
        <v>205013.71999999974</v>
      </c>
      <c r="AJ247" s="10">
        <f t="shared" si="568"/>
        <v>73.46</v>
      </c>
      <c r="AK247" s="10">
        <f t="shared" si="569"/>
        <v>1114.21</v>
      </c>
      <c r="AL247" s="10">
        <f t="shared" si="570"/>
        <v>1187.67</v>
      </c>
      <c r="AM247" s="10">
        <f t="shared" si="571"/>
        <v>1391.27</v>
      </c>
      <c r="AO247" s="43">
        <f t="shared" si="572"/>
        <v>44621</v>
      </c>
      <c r="AP247" s="11">
        <f>AP$5+SUM(AS$5:AS246)-SUM(X$5:X247)+SUM(W$5:W247)</f>
        <v>97555.20308132215</v>
      </c>
      <c r="AQ247" s="10">
        <f t="shared" si="573"/>
        <v>-34.957281104140435</v>
      </c>
      <c r="AR247" s="10">
        <f>IF(AB247=1,IF(Q247="tak",AQ247,PMT(M247/12,P247+1-SUM(AB$5:AB247),AP247)),0)</f>
        <v>-545.0916020854148</v>
      </c>
      <c r="AS247" s="10">
        <f t="shared" si="574"/>
        <v>-510.1343209812744</v>
      </c>
      <c r="AT247" s="10">
        <f t="shared" si="575"/>
        <v>-2534.5669313767617</v>
      </c>
      <c r="AV247" s="11">
        <f>AV$5+SUM(AX$5:AX246)+SUM(W$5:W246)-SUM(X$5:X246)</f>
        <v>90163.46719148564</v>
      </c>
      <c r="AW247" s="11">
        <f t="shared" si="576"/>
        <v>-34.957281104140435</v>
      </c>
      <c r="AX247" s="11">
        <f t="shared" si="577"/>
        <v>-490.02</v>
      </c>
      <c r="AY247" s="11">
        <f t="shared" si="578"/>
        <v>-524.9772811041404</v>
      </c>
      <c r="AZ247" s="11">
        <f t="shared" si="579"/>
        <v>-2441.039361678032</v>
      </c>
      <c r="BB247" s="191">
        <f t="shared" si="580"/>
        <v>0.042674</v>
      </c>
      <c r="BC247" s="44">
        <f>BB247+Podsumowanie!$E$6</f>
        <v>0.054674</v>
      </c>
      <c r="BD247" s="11">
        <f>BD$5+SUM(BE$5:BE246)+SUM(R$5:R246)-SUM(S$5:S246)</f>
        <v>261083.19128060117</v>
      </c>
      <c r="BE247" s="10">
        <f t="shared" si="581"/>
        <v>-902.1018654578163</v>
      </c>
      <c r="BF247" s="10">
        <f t="shared" si="582"/>
        <v>-1189.5385333396323</v>
      </c>
      <c r="BG247" s="10">
        <f>IF(U247&lt;0,PMT(BC247/12,Podsumowanie!E$8-SUM(AB$5:AB247)+1,BD247),0)</f>
        <v>-2091.6403987974486</v>
      </c>
      <c r="BI247" s="11">
        <f>BI$5+SUM(BK$5:BK246)+SUM(R$5:R246)-SUM(S$5:S246)</f>
        <v>205013.92757660206</v>
      </c>
      <c r="BJ247" s="11">
        <f t="shared" si="583"/>
        <v>-934.0776230269284</v>
      </c>
      <c r="BK247" s="11">
        <f t="shared" si="584"/>
        <v>-1114.206128133707</v>
      </c>
      <c r="BL247" s="11">
        <f t="shared" si="585"/>
        <v>-2048.2837511606353</v>
      </c>
      <c r="BN247" s="44">
        <f t="shared" si="586"/>
        <v>0.054773999999999996</v>
      </c>
      <c r="BO247" s="11">
        <f>BO$5+SUM(BP$5:BP246)+SUM(R$5:R246)-SUM(S$5:S246)+SUM(BS$5:BS246)</f>
        <v>246276.38611718192</v>
      </c>
      <c r="BP247" s="10">
        <f t="shared" si="587"/>
        <v>-850.2013406475144</v>
      </c>
      <c r="BQ247" s="10">
        <f t="shared" si="588"/>
        <v>-1124.1285644318768</v>
      </c>
      <c r="BR247" s="10">
        <f>IF(U247&lt;0,PMT(BN247/12,Podsumowanie!E$8-SUM(AB$5:AB247)+1,BO247),0)</f>
        <v>-1974.3299050793912</v>
      </c>
      <c r="BS247" s="10">
        <f t="shared" si="589"/>
        <v>-717.0143622588203</v>
      </c>
      <c r="BU247" s="11">
        <f>BU$5+SUM(BW$5:BW246)+SUM(R$5:R246)-SUM(S$5:S246)+SUM(BY$5,BY246)</f>
        <v>204489.64402608722</v>
      </c>
      <c r="BV247" s="10">
        <f t="shared" si="590"/>
        <v>-933.3929801570752</v>
      </c>
      <c r="BW247" s="10">
        <f t="shared" si="591"/>
        <v>-1111.3567610113437</v>
      </c>
      <c r="BX247" s="10">
        <f t="shared" si="592"/>
        <v>-2044.749741168419</v>
      </c>
      <c r="BY247" s="10">
        <f t="shared" si="593"/>
        <v>-646.5945261697925</v>
      </c>
      <c r="CA247" s="10">
        <f>CA$5+SUM(CB$5:CB246)+SUM(R$5:R246)-SUM(S$5:S246)-SUM(CC$5:CC246)</f>
        <v>214117.614202098</v>
      </c>
      <c r="CB247" s="10">
        <f t="shared" si="265"/>
        <v>933.3929801570752</v>
      </c>
      <c r="CC247" s="10">
        <f t="shared" si="266"/>
        <v>2691.3442673382115</v>
      </c>
      <c r="CD247" s="10">
        <f t="shared" si="267"/>
        <v>1757.9512871811362</v>
      </c>
      <c r="CF247" s="44">
        <f t="shared" si="263"/>
        <v>0.1744</v>
      </c>
      <c r="CG247" s="10">
        <f t="shared" si="268"/>
        <v>-469.37</v>
      </c>
      <c r="CH247" s="4">
        <f t="shared" si="273"/>
        <v>0</v>
      </c>
    </row>
    <row r="248" spans="1:86" ht="15.75">
      <c r="A248" s="36"/>
      <c r="B248" s="37">
        <v>44652</v>
      </c>
      <c r="C248" s="77">
        <f aca="true" t="shared" si="594" ref="C248">VLOOKUP(B248,Kursy,C$2)</f>
        <v>4.5475</v>
      </c>
      <c r="D248" s="79">
        <f>C248*(1+Podsumowanie!E$11)</f>
        <v>4.683925</v>
      </c>
      <c r="E248" s="34">
        <f aca="true" t="shared" si="595" ref="E248">Z248</f>
        <v>-561.9501052426958</v>
      </c>
      <c r="F248" s="7">
        <f aca="true" t="shared" si="596" ref="F248">E248*D248</f>
        <v>-2632.1321466988943</v>
      </c>
      <c r="G248" s="7">
        <f aca="true" t="shared" si="597" ref="G248">U248</f>
        <v>-1239.4292848218167</v>
      </c>
      <c r="H248" s="7">
        <f aca="true" t="shared" si="598" ref="H248">G248-F248</f>
        <v>1392.7028618770776</v>
      </c>
      <c r="I248" s="32"/>
      <c r="K248" s="4">
        <f>IF(B248&lt;Podsumowanie!E$7,0,K247+1)</f>
        <v>178</v>
      </c>
      <c r="L248" s="100">
        <f aca="true" t="shared" si="599" ref="L248">VLOOKUP(B248,Oproc,C$2)</f>
        <v>-0.0077</v>
      </c>
      <c r="M248" s="38">
        <f>L248+Podsumowanie!E$6</f>
        <v>0.0043</v>
      </c>
      <c r="N248" s="101">
        <f>MAX(Podsumowanie!E$4+SUM(AA$5:AA247)-SUM(X$5:X248)+SUM(W$5:W248),0)</f>
        <v>100046.4626395267</v>
      </c>
      <c r="O248" s="102">
        <f>MAX(Podsumowanie!E$2+SUM(V$5:V247)-SUM(S$5:S248)+SUM(R$5:R248),0)</f>
        <v>220661.07734726314</v>
      </c>
      <c r="P248" s="39">
        <f t="shared" si="398"/>
        <v>360</v>
      </c>
      <c r="Q248" s="40" t="str">
        <f>IF(AND(K248&gt;0,K248&lt;=Podsumowanie!E$9),"tak","nie")</f>
        <v>nie</v>
      </c>
      <c r="R248" s="41"/>
      <c r="S248" s="42"/>
      <c r="T248" s="88">
        <f aca="true" t="shared" si="600" ref="T248">IF(AB248=1,-O248*M248/12,0)</f>
        <v>-79.0702193827693</v>
      </c>
      <c r="U248" s="89">
        <f>IF(Q248="tak",T248,IF(P248-SUM(AB$5:AB248)+1&gt;0,IF(Podsumowanie!E$7&lt;B248,IF(SUM(AB$5:AB248)-Podsumowanie!E$9+1&gt;0,PMT(M248/12,P248+1-SUM(AB$5:AB248),O248),T248),0),0))</f>
        <v>-1239.4292848218167</v>
      </c>
      <c r="V248" s="89">
        <f aca="true" t="shared" si="601" ref="V248">U248-T248</f>
        <v>-1160.3590654390475</v>
      </c>
      <c r="W248" s="90" t="str">
        <f>IF(R248&gt;0,R248/(C248*(1-Podsumowanie!E$11))," ")</f>
        <v xml:space="preserve"> </v>
      </c>
      <c r="X248" s="90" t="str">
        <f aca="true" t="shared" si="602" ref="X248">IF(S248&gt;0,S248/D248," ")</f>
        <v xml:space="preserve"> </v>
      </c>
      <c r="Y248" s="91">
        <f aca="true" t="shared" si="603" ref="Y248">IF(AB248=1,-N248*M248/12,0)</f>
        <v>-35.8499824458304</v>
      </c>
      <c r="Z248" s="90">
        <f>IF(P248-SUM(AB$5:AB248)+1&gt;0,IF(Podsumowanie!E$7&lt;B248,IF(SUM(AB$5:AB248)-Podsumowanie!E$9+1&gt;0,PMT(M248/12,P248+1-SUM(AB$5:AB248),N248),Y248),0),0)</f>
        <v>-561.9501052426958</v>
      </c>
      <c r="AA248" s="90">
        <f aca="true" t="shared" si="604" ref="AA248">Z248-Y248</f>
        <v>-526.1001227968654</v>
      </c>
      <c r="AB248" s="8">
        <f>IF(AND(Podsumowanie!E$7&lt;B248,SUM(AB$5:AB247)&lt;P247),1," ")</f>
        <v>1</v>
      </c>
      <c r="AD248" s="10">
        <f>Podsumowanie!E$4-SUM(AF$5:AF247)+SUM(W$42:W248)-SUM(X$42:X248)</f>
        <v>92447.02813555246</v>
      </c>
      <c r="AE248" s="10">
        <f aca="true" t="shared" si="605" ref="AE248">IF(AB248=1,ROUND(AD248*M248/12,2),0)</f>
        <v>33.13</v>
      </c>
      <c r="AF248" s="10">
        <f aca="true" t="shared" si="606" ref="AF248">IF(Q248="tak",0,IF(AB248=1,ROUND(AD248/(P248-K248+1),2),0))</f>
        <v>505.18</v>
      </c>
      <c r="AG248" s="10">
        <f aca="true" t="shared" si="607" ref="AG248">AF248+AE248</f>
        <v>538.3100000000001</v>
      </c>
      <c r="AH248" s="10">
        <f aca="true" t="shared" si="608" ref="AH248">ROUND(AG248*D248,2)</f>
        <v>2521.4</v>
      </c>
      <c r="AI248" s="10">
        <f>Podsumowanie!E$2-SUM(AK$5:AK247)+SUM(R$42:R248)-SUM(S$42:S248)</f>
        <v>203899.50999999975</v>
      </c>
      <c r="AJ248" s="10">
        <f aca="true" t="shared" si="609" ref="AJ248">IF(AB248=1,ROUND(AI248*M248/12,2),0)</f>
        <v>73.06</v>
      </c>
      <c r="AK248" s="10">
        <f aca="true" t="shared" si="610" ref="AK248">IF(Q248="tak",0,IF(AB248=1,ROUND(AI248/(P248-K248+1),2),0))</f>
        <v>1114.2</v>
      </c>
      <c r="AL248" s="10">
        <f aca="true" t="shared" si="611" ref="AL248">AK248+AJ248</f>
        <v>1187.26</v>
      </c>
      <c r="AM248" s="10">
        <f aca="true" t="shared" si="612" ref="AM248">AH248-AL248</f>
        <v>1334.14</v>
      </c>
      <c r="AO248" s="43">
        <f aca="true" t="shared" si="613" ref="AO248">B248</f>
        <v>44652</v>
      </c>
      <c r="AP248" s="11">
        <f>AP$5+SUM(AS$5:AS247)-SUM(X$5:X248)+SUM(W$5:W248)</f>
        <v>97045.06876034087</v>
      </c>
      <c r="AQ248" s="10">
        <f aca="true" t="shared" si="614" ref="AQ248">IF(AB248=1,-AP248*M248/12,0)</f>
        <v>-34.77448297245548</v>
      </c>
      <c r="AR248" s="10">
        <f>IF(AB248=1,IF(Q248="tak",AQ248,PMT(M248/12,P248+1-SUM(AB$5:AB248),AP248)),0)</f>
        <v>-545.0916020854148</v>
      </c>
      <c r="AS248" s="10">
        <f aca="true" t="shared" si="615" ref="AS248">AR248-AQ248</f>
        <v>-510.31711911295935</v>
      </c>
      <c r="AT248" s="10">
        <f aca="true" t="shared" si="616" ref="AT248">AR248*C248</f>
        <v>-2478.804060483424</v>
      </c>
      <c r="AV248" s="11">
        <f>AV$5+SUM(AX$5:AX247)+SUM(W$5:W247)-SUM(X$5:X247)</f>
        <v>89673.44719148564</v>
      </c>
      <c r="AW248" s="11">
        <f aca="true" t="shared" si="617" ref="AW248">IF(AB248=1,-AP248*M248/12,0)</f>
        <v>-34.77448297245548</v>
      </c>
      <c r="AX248" s="11">
        <f aca="true" t="shared" si="618" ref="AX248">IF(AB248=1,IF(Q248="tak",0,ROUND(-AV248/(P248-K248+1),2)),0)</f>
        <v>-490.02</v>
      </c>
      <c r="AY248" s="11">
        <f aca="true" t="shared" si="619" ref="AY248">AX248+AW248</f>
        <v>-524.7944829724555</v>
      </c>
      <c r="AZ248" s="11">
        <f aca="true" t="shared" si="620" ref="AZ248">AY248*C248</f>
        <v>-2386.502911317242</v>
      </c>
      <c r="BB248" s="191">
        <f aca="true" t="shared" si="621" ref="BB248">VLOOKUP(B248,Oproc,5)</f>
        <v>0.054795</v>
      </c>
      <c r="BC248" s="44">
        <f>BB248+Podsumowanie!$E$6</f>
        <v>0.06679500000000001</v>
      </c>
      <c r="BD248" s="11">
        <f>BD$5+SUM(BE$5:BE247)+SUM(R$5:R247)-SUM(S$5:S247)</f>
        <v>260181.08941514336</v>
      </c>
      <c r="BE248" s="10">
        <f aca="true" t="shared" si="622" ref="BE248">IF(BG248&lt;0,BG248-BF248,0)</f>
        <v>-815.0145173110232</v>
      </c>
      <c r="BF248" s="10">
        <f aca="true" t="shared" si="623" ref="BF248">IF(BG248&lt;0,-BD248*BC248/12,0)</f>
        <v>-1448.232988957042</v>
      </c>
      <c r="BG248" s="10">
        <f>IF(U248&lt;0,PMT(BC248/12,Podsumowanie!E$8-SUM(AB$5:AB248)+1,BD248),0)</f>
        <v>-2263.247506268065</v>
      </c>
      <c r="BI248" s="11">
        <f>BI$5+SUM(BK$5:BK247)+SUM(R$5:R247)-SUM(S$5:S247)</f>
        <v>203899.72144846836</v>
      </c>
      <c r="BJ248" s="11">
        <f aca="true" t="shared" si="624" ref="BJ248">IF(AB248=1,-BC248*BI248/12,0)</f>
        <v>-1134.9568245125372</v>
      </c>
      <c r="BK248" s="11">
        <f aca="true" t="shared" si="625" ref="BK248">IF(AB248=1,-BI248/(P248-K248+1),0)</f>
        <v>-1114.206128133707</v>
      </c>
      <c r="BL248" s="11">
        <f aca="true" t="shared" si="626" ref="BL248">BK248+BJ248</f>
        <v>-2249.162952646244</v>
      </c>
      <c r="BN248" s="44">
        <f aca="true" t="shared" si="627" ref="BN248">BB248+$BN$4</f>
        <v>0.06689500000000001</v>
      </c>
      <c r="BO248" s="11">
        <f>BO$5+SUM(BP$5:BP247)+SUM(R$5:R247)-SUM(S$5:S247)+SUM(BS$5:BS247)</f>
        <v>244709.1704142756</v>
      </c>
      <c r="BP248" s="10">
        <f aca="true" t="shared" si="628" ref="BP248">IF(BR248&lt;0,BR248-BQ248,0)</f>
        <v>-765.8700745713538</v>
      </c>
      <c r="BQ248" s="10">
        <f aca="true" t="shared" si="629" ref="BQ248">IF(BR248&lt;0,-BO248*BN248/12,0)</f>
        <v>-1364.1516629052473</v>
      </c>
      <c r="BR248" s="10">
        <f>IF(U248&lt;0,PMT(BN248/12,Podsumowanie!E$8-SUM(AB$5:AB248)+1,BO248),0)</f>
        <v>-2130.021737476601</v>
      </c>
      <c r="BS248" s="10">
        <f aca="true" t="shared" si="630" ref="BS248">F248-BR248</f>
        <v>-502.11040922229313</v>
      </c>
      <c r="BU248" s="11">
        <f>BU$5+SUM(BW$5:BW247)+SUM(R$5:R247)-SUM(S$5:S247)+SUM(BY$5,BY247)</f>
        <v>203361.91055977807</v>
      </c>
      <c r="BV248" s="10">
        <f aca="true" t="shared" si="631" ref="BV248">IF(AB248=1,-BN248*BU248/12,0)</f>
        <v>-1133.657917241363</v>
      </c>
      <c r="BW248" s="10">
        <f aca="true" t="shared" si="632" ref="BW248">IF(AB248=1,-BU248/(P248-K248+1),0)</f>
        <v>-1111.2672708184593</v>
      </c>
      <c r="BX248" s="10">
        <f aca="true" t="shared" si="633" ref="BX248">BW248+BV248</f>
        <v>-2244.925188059822</v>
      </c>
      <c r="BY248" s="10">
        <f aca="true" t="shared" si="634" ref="BY248">$F248-BX248</f>
        <v>-387.2069586390721</v>
      </c>
      <c r="CA248" s="10">
        <f>CA$5+SUM(CB$5:CB247)+SUM(R$5:R247)-SUM(S$5:S247)-SUM(CC$5:CC247)</f>
        <v>212359.66291491693</v>
      </c>
      <c r="CB248" s="10">
        <f aca="true" t="shared" si="635" ref="CB248">IF(AB248=1,BN248*BU248/12,0)</f>
        <v>1133.657917241363</v>
      </c>
      <c r="CC248" s="10">
        <f aca="true" t="shared" si="636" ref="CC248">-F248</f>
        <v>2632.1321466988943</v>
      </c>
      <c r="CD248" s="10">
        <f aca="true" t="shared" si="637" ref="CD248">CC248-CB248</f>
        <v>1498.4742294575312</v>
      </c>
      <c r="CF248" s="44">
        <f t="shared" si="263"/>
        <v>0.1513</v>
      </c>
      <c r="CG248" s="10">
        <f t="shared" si="268"/>
        <v>-398.24</v>
      </c>
      <c r="CH248" s="4">
        <f t="shared" si="273"/>
        <v>0</v>
      </c>
    </row>
    <row r="249" spans="1:86" ht="15.75">
      <c r="A249" s="36"/>
      <c r="B249" s="37">
        <v>44682</v>
      </c>
      <c r="C249" s="77">
        <f aca="true" t="shared" si="638" ref="C249:C251">VLOOKUP(B249,Kursy,C$2)</f>
        <v>4.4948</v>
      </c>
      <c r="D249" s="79">
        <f>C249*(1+Podsumowanie!E$11)</f>
        <v>4.629644</v>
      </c>
      <c r="E249" s="34">
        <f aca="true" t="shared" si="639" ref="E249:E251">Z249</f>
        <v>-561.9501052426959</v>
      </c>
      <c r="F249" s="7">
        <f aca="true" t="shared" si="640" ref="F249:F251">E249*D249</f>
        <v>-2601.6289330362156</v>
      </c>
      <c r="G249" s="7">
        <f aca="true" t="shared" si="641" ref="G249:G251">U249</f>
        <v>-1239.4292848218167</v>
      </c>
      <c r="H249" s="7">
        <f aca="true" t="shared" si="642" ref="H249:H251">G249-F249</f>
        <v>1362.1996482143988</v>
      </c>
      <c r="I249" s="32"/>
      <c r="K249" s="4">
        <f>IF(B249&lt;Podsumowanie!E$7,0,K248+1)</f>
        <v>179</v>
      </c>
      <c r="L249" s="100">
        <f aca="true" t="shared" si="643" ref="L249:L251">VLOOKUP(B249,Oproc,C$2)</f>
        <v>-0.0077</v>
      </c>
      <c r="M249" s="38">
        <f>L249+Podsumowanie!E$6</f>
        <v>0.0043</v>
      </c>
      <c r="N249" s="101">
        <f>MAX(Podsumowanie!E$4+SUM(AA$5:AA248)-SUM(X$5:X249)+SUM(W$5:W249),0)</f>
        <v>99520.36251672983</v>
      </c>
      <c r="O249" s="102">
        <f>MAX(Podsumowanie!E$2+SUM(V$5:V248)-SUM(S$5:S249)+SUM(R$5:R249),0)</f>
        <v>219500.71828182408</v>
      </c>
      <c r="P249" s="39">
        <f t="shared" si="398"/>
        <v>360</v>
      </c>
      <c r="Q249" s="40" t="str">
        <f>IF(AND(K249&gt;0,K249&lt;=Podsumowanie!E$9),"tak","nie")</f>
        <v>nie</v>
      </c>
      <c r="R249" s="41"/>
      <c r="S249" s="42"/>
      <c r="T249" s="88">
        <f aca="true" t="shared" si="644" ref="T249:T251">IF(AB249=1,-O249*M249/12,0)</f>
        <v>-78.65442405098696</v>
      </c>
      <c r="U249" s="89">
        <f>IF(Q249="tak",T249,IF(P249-SUM(AB$5:AB249)+1&gt;0,IF(Podsumowanie!E$7&lt;B249,IF(SUM(AB$5:AB249)-Podsumowanie!E$9+1&gt;0,PMT(M249/12,P249+1-SUM(AB$5:AB249),O249),T249),0),0))</f>
        <v>-1239.4292848218167</v>
      </c>
      <c r="V249" s="89">
        <f aca="true" t="shared" si="645" ref="V249:V251">U249-T249</f>
        <v>-1160.7748607708297</v>
      </c>
      <c r="W249" s="90" t="str">
        <f>IF(R249&gt;0,R249/(C249*(1-Podsumowanie!E$11))," ")</f>
        <v xml:space="preserve"> </v>
      </c>
      <c r="X249" s="90" t="str">
        <f aca="true" t="shared" si="646" ref="X249:X251">IF(S249&gt;0,S249/D249," ")</f>
        <v xml:space="preserve"> </v>
      </c>
      <c r="Y249" s="91">
        <f aca="true" t="shared" si="647" ref="Y249:Y251">IF(AB249=1,-N249*M249/12,0)</f>
        <v>-35.66146323516153</v>
      </c>
      <c r="Z249" s="90">
        <f>IF(P249-SUM(AB$5:AB249)+1&gt;0,IF(Podsumowanie!E$7&lt;B249,IF(SUM(AB$5:AB249)-Podsumowanie!E$9+1&gt;0,PMT(M249/12,P249+1-SUM(AB$5:AB249),N249),Y249),0),0)</f>
        <v>-561.9501052426959</v>
      </c>
      <c r="AA249" s="90">
        <f aca="true" t="shared" si="648" ref="AA249:AA251">Z249-Y249</f>
        <v>-526.2886420075345</v>
      </c>
      <c r="AB249" s="8">
        <f>IF(AND(Podsumowanie!E$7&lt;B249,SUM(AB$5:AB248)&lt;P248),1," ")</f>
        <v>1</v>
      </c>
      <c r="AD249" s="10">
        <f>Podsumowanie!E$4-SUM(AF$5:AF248)+SUM(W$42:W249)-SUM(X$42:X249)</f>
        <v>91941.84813555247</v>
      </c>
      <c r="AE249" s="10">
        <f aca="true" t="shared" si="649" ref="AE249:AE251">IF(AB249=1,ROUND(AD249*M249/12,2),0)</f>
        <v>32.95</v>
      </c>
      <c r="AF249" s="10">
        <f aca="true" t="shared" si="650" ref="AF249:AF251">IF(Q249="tak",0,IF(AB249=1,ROUND(AD249/(P249-K249+1),2),0))</f>
        <v>505.17</v>
      </c>
      <c r="AG249" s="10">
        <f aca="true" t="shared" si="651" ref="AG249:AG251">AF249+AE249</f>
        <v>538.12</v>
      </c>
      <c r="AH249" s="10">
        <f aca="true" t="shared" si="652" ref="AH249:AH251">ROUND(AG249*D249,2)</f>
        <v>2491.3</v>
      </c>
      <c r="AI249" s="10">
        <f>Podsumowanie!E$2-SUM(AK$5:AK248)+SUM(R$42:R249)-SUM(S$42:S249)</f>
        <v>202785.30999999974</v>
      </c>
      <c r="AJ249" s="10">
        <f aca="true" t="shared" si="653" ref="AJ249:AJ251">IF(AB249=1,ROUND(AI249*M249/12,2),0)</f>
        <v>72.66</v>
      </c>
      <c r="AK249" s="10">
        <f aca="true" t="shared" si="654" ref="AK249:AK251">IF(Q249="tak",0,IF(AB249=1,ROUND(AI249/(P249-K249+1),2),0))</f>
        <v>1114.21</v>
      </c>
      <c r="AL249" s="10">
        <f aca="true" t="shared" si="655" ref="AL249:AL251">AK249+AJ249</f>
        <v>1186.8700000000001</v>
      </c>
      <c r="AM249" s="10">
        <f aca="true" t="shared" si="656" ref="AM249:AM251">AH249-AL249</f>
        <v>1304.43</v>
      </c>
      <c r="AO249" s="43">
        <f aca="true" t="shared" si="657" ref="AO249:AO251">B249</f>
        <v>44682</v>
      </c>
      <c r="AP249" s="11">
        <f>AP$5+SUM(AS$5:AS248)-SUM(X$5:X249)+SUM(W$5:W249)</f>
        <v>96534.75164122791</v>
      </c>
      <c r="AQ249" s="10">
        <f aca="true" t="shared" si="658" ref="AQ249:AQ251">IF(AB249=1,-AP249*M249/12,0)</f>
        <v>-34.59161933810667</v>
      </c>
      <c r="AR249" s="10">
        <f>IF(AB249=1,IF(Q249="tak",AQ249,PMT(M249/12,P249+1-SUM(AB$5:AB249),AP249)),0)</f>
        <v>-545.0916020854148</v>
      </c>
      <c r="AS249" s="10">
        <f aca="true" t="shared" si="659" ref="AS249:AS251">AR249-AQ249</f>
        <v>-510.49998274730814</v>
      </c>
      <c r="AT249" s="10">
        <f aca="true" t="shared" si="660" ref="AT249:AT251">AR249*C249</f>
        <v>-2450.0777330535225</v>
      </c>
      <c r="AV249" s="11">
        <f>AV$5+SUM(AX$5:AX248)+SUM(W$5:W248)-SUM(X$5:X248)</f>
        <v>89183.42719148564</v>
      </c>
      <c r="AW249" s="11">
        <f aca="true" t="shared" si="661" ref="AW249:AW251">IF(AB249=1,-AP249*M249/12,0)</f>
        <v>-34.59161933810667</v>
      </c>
      <c r="AX249" s="11">
        <f aca="true" t="shared" si="662" ref="AX249:AX251">IF(AB249=1,IF(Q249="tak",0,ROUND(-AV249/(P249-K249+1),2)),0)</f>
        <v>-490.02</v>
      </c>
      <c r="AY249" s="11">
        <f aca="true" t="shared" si="663" ref="AY249:AY251">AX249+AW249</f>
        <v>-524.6116193381066</v>
      </c>
      <c r="AZ249" s="11">
        <f aca="true" t="shared" si="664" ref="AZ249:AZ251">AY249*C249</f>
        <v>-2358.0243066009216</v>
      </c>
      <c r="BB249" s="191">
        <f aca="true" t="shared" si="665" ref="BB249:BB251">VLOOKUP(B249,Oproc,5)</f>
        <v>0.0642</v>
      </c>
      <c r="BC249" s="44">
        <f>BB249+Podsumowanie!$E$6</f>
        <v>0.07619999999999999</v>
      </c>
      <c r="BD249" s="11">
        <f>BD$5+SUM(BE$5:BE248)+SUM(R$5:R248)-SUM(S$5:S248)</f>
        <v>259366.07489783232</v>
      </c>
      <c r="BE249" s="10">
        <f aca="true" t="shared" si="666" ref="BE249:BE251">IF(BG249&lt;0,BG249-BF249,0)</f>
        <v>-753.8478957291211</v>
      </c>
      <c r="BF249" s="10">
        <f aca="true" t="shared" si="667" ref="BF249:BF251">IF(BG249&lt;0,-BD249*BC249/12,0)</f>
        <v>-1646.974575601235</v>
      </c>
      <c r="BG249" s="10">
        <f>IF(U249&lt;0,PMT(BC249/12,Podsumowanie!E$8-SUM(AB$5:AB249)+1,BD249),0)</f>
        <v>-2400.822471330356</v>
      </c>
      <c r="BI249" s="11">
        <f>BI$5+SUM(BK$5:BK248)+SUM(R$5:R248)-SUM(S$5:S248)</f>
        <v>202785.51532033467</v>
      </c>
      <c r="BJ249" s="11">
        <f aca="true" t="shared" si="668" ref="BJ249:BJ251">IF(AB249=1,-BC249*BI249/12,0)</f>
        <v>-1287.688022284125</v>
      </c>
      <c r="BK249" s="11">
        <f aca="true" t="shared" si="669" ref="BK249:BK251">IF(AB249=1,-BI249/(P249-K249+1),0)</f>
        <v>-1114.206128133707</v>
      </c>
      <c r="BL249" s="11">
        <f aca="true" t="shared" si="670" ref="BL249:BL251">BK249+BJ249</f>
        <v>-2401.894150417832</v>
      </c>
      <c r="BN249" s="44">
        <f aca="true" t="shared" si="671" ref="BN249:BN251">BB249+$BN$4</f>
        <v>0.07629999999999999</v>
      </c>
      <c r="BO249" s="11">
        <f>BO$5+SUM(BP$5:BP248)+SUM(R$5:R248)-SUM(S$5:S248)+SUM(BS$5:BS248)</f>
        <v>243441.18993048195</v>
      </c>
      <c r="BP249" s="10">
        <f aca="true" t="shared" si="672" ref="BP249:BP251">IF(BR249&lt;0,BR249-BQ249,0)</f>
        <v>-706.9279775168561</v>
      </c>
      <c r="BQ249" s="10">
        <f aca="true" t="shared" si="673" ref="BQ249:BQ251">IF(BR249&lt;0,-BO249*BN249/12,0)</f>
        <v>-1547.8802326413143</v>
      </c>
      <c r="BR249" s="10">
        <f>IF(U249&lt;0,PMT(BN249/12,Podsumowanie!E$8-SUM(AB$5:AB249)+1,BO249),0)</f>
        <v>-2254.8082101581704</v>
      </c>
      <c r="BS249" s="10">
        <f aca="true" t="shared" si="674" ref="BS249:BS251">F249-BR249</f>
        <v>-346.8207228780452</v>
      </c>
      <c r="BU249" s="11">
        <f>BU$5+SUM(BW$5:BW248)+SUM(R$5:R248)-SUM(S$5:S248)+SUM(BY$5,BY248)</f>
        <v>202510.0308564903</v>
      </c>
      <c r="BV249" s="10">
        <f aca="true" t="shared" si="675" ref="BV249:BV251">IF(AB249=1,-BN249*BU249/12,0)</f>
        <v>-1287.626279529184</v>
      </c>
      <c r="BW249" s="10">
        <f aca="true" t="shared" si="676" ref="BW249:BW251">IF(AB249=1,-BU249/(P249-K249+1),0)</f>
        <v>-1112.6924772334633</v>
      </c>
      <c r="BX249" s="10">
        <f aca="true" t="shared" si="677" ref="BX249:BX251">BW249+BV249</f>
        <v>-2400.3187567626474</v>
      </c>
      <c r="BY249" s="10">
        <f aca="true" t="shared" si="678" ref="BY249:BY251">$F249-BX249</f>
        <v>-201.31017627356823</v>
      </c>
      <c r="CA249" s="10">
        <f>CA$5+SUM(CB$5:CB248)+SUM(R$5:R248)-SUM(S$5:S248)-SUM(CC$5:CC248)</f>
        <v>210861.18868545938</v>
      </c>
      <c r="CB249" s="10">
        <f aca="true" t="shared" si="679" ref="CB249:CB251">IF(AB249=1,BN249*BU249/12,0)</f>
        <v>1287.626279529184</v>
      </c>
      <c r="CC249" s="10">
        <f aca="true" t="shared" si="680" ref="CC249:CC251">-F249</f>
        <v>2601.6289330362156</v>
      </c>
      <c r="CD249" s="10">
        <f aca="true" t="shared" si="681" ref="CD249:CD251">CC249-CB249</f>
        <v>1314.0026535070315</v>
      </c>
      <c r="CF249" s="44">
        <f t="shared" si="263"/>
        <v>0.1321</v>
      </c>
      <c r="CG249" s="10">
        <f t="shared" si="268"/>
        <v>-343.68</v>
      </c>
      <c r="CH249" s="4">
        <f t="shared" si="273"/>
        <v>0</v>
      </c>
    </row>
    <row r="250" spans="1:86" ht="15.75">
      <c r="A250" s="36"/>
      <c r="B250" s="37">
        <v>44713</v>
      </c>
      <c r="C250" s="77">
        <f t="shared" si="638"/>
        <v>4.529</v>
      </c>
      <c r="D250" s="79">
        <f>C250*(1+Podsumowanie!E$11)</f>
        <v>4.66487</v>
      </c>
      <c r="E250" s="34">
        <f t="shared" si="639"/>
        <v>-561.9501052426958</v>
      </c>
      <c r="F250" s="7">
        <f t="shared" si="640"/>
        <v>-2621.4241874434942</v>
      </c>
      <c r="G250" s="7">
        <f t="shared" si="641"/>
        <v>-1239.4292848218167</v>
      </c>
      <c r="H250" s="7">
        <f t="shared" si="642"/>
        <v>1381.9949026216775</v>
      </c>
      <c r="I250" s="32"/>
      <c r="K250" s="4">
        <f>IF(B250&lt;Podsumowanie!E$7,0,K249+1)</f>
        <v>180</v>
      </c>
      <c r="L250" s="100">
        <f t="shared" si="643"/>
        <v>-0.0077</v>
      </c>
      <c r="M250" s="38">
        <f>L250+Podsumowanie!E$6</f>
        <v>0.0043</v>
      </c>
      <c r="N250" s="101">
        <f>MAX(Podsumowanie!E$4+SUM(AA$5:AA249)-SUM(X$5:X250)+SUM(W$5:W250),0)</f>
        <v>98994.0738747223</v>
      </c>
      <c r="O250" s="102">
        <f>MAX(Podsumowanie!E$2+SUM(V$5:V249)-SUM(S$5:S250)+SUM(R$5:R250),0)</f>
        <v>218339.94342105326</v>
      </c>
      <c r="P250" s="39">
        <f t="shared" si="398"/>
        <v>360</v>
      </c>
      <c r="Q250" s="40" t="str">
        <f>IF(AND(K250&gt;0,K250&lt;=Podsumowanie!E$9),"tak","nie")</f>
        <v>nie</v>
      </c>
      <c r="R250" s="41"/>
      <c r="S250" s="42"/>
      <c r="T250" s="88">
        <f t="shared" si="644"/>
        <v>-78.23847972587741</v>
      </c>
      <c r="U250" s="89">
        <f>IF(Q250="tak",T250,IF(P250-SUM(AB$5:AB250)+1&gt;0,IF(Podsumowanie!E$7&lt;B250,IF(SUM(AB$5:AB250)-Podsumowanie!E$9+1&gt;0,PMT(M250/12,P250+1-SUM(AB$5:AB250),O250),T250),0),0))</f>
        <v>-1239.4292848218167</v>
      </c>
      <c r="V250" s="89">
        <f t="shared" si="645"/>
        <v>-1161.1908050959394</v>
      </c>
      <c r="W250" s="90" t="str">
        <f>IF(R250&gt;0,R250/(C250*(1-Podsumowanie!E$11))," ")</f>
        <v xml:space="preserve"> </v>
      </c>
      <c r="X250" s="90" t="str">
        <f t="shared" si="646"/>
        <v xml:space="preserve"> </v>
      </c>
      <c r="Y250" s="91">
        <f t="shared" si="647"/>
        <v>-35.472876471775486</v>
      </c>
      <c r="Z250" s="90">
        <f>IF(P250-SUM(AB$5:AB250)+1&gt;0,IF(Podsumowanie!E$7&lt;B250,IF(SUM(AB$5:AB250)-Podsumowanie!E$9+1&gt;0,PMT(M250/12,P250+1-SUM(AB$5:AB250),N250),Y250),0),0)</f>
        <v>-561.9501052426958</v>
      </c>
      <c r="AA250" s="90">
        <f t="shared" si="648"/>
        <v>-526.4772287709203</v>
      </c>
      <c r="AB250" s="8">
        <f>IF(AND(Podsumowanie!E$7&lt;B250,SUM(AB$5:AB249)&lt;P249),1," ")</f>
        <v>1</v>
      </c>
      <c r="AD250" s="10">
        <f>Podsumowanie!E$4-SUM(AF$5:AF249)+SUM(W$42:W250)-SUM(X$42:X250)</f>
        <v>91436.67813555247</v>
      </c>
      <c r="AE250" s="10">
        <f t="shared" si="649"/>
        <v>32.76</v>
      </c>
      <c r="AF250" s="10">
        <f t="shared" si="650"/>
        <v>505.18</v>
      </c>
      <c r="AG250" s="10">
        <f t="shared" si="651"/>
        <v>537.94</v>
      </c>
      <c r="AH250" s="10">
        <f t="shared" si="652"/>
        <v>2509.42</v>
      </c>
      <c r="AI250" s="10">
        <f>Podsumowanie!E$2-SUM(AK$5:AK249)+SUM(R$42:R250)-SUM(S$42:S250)</f>
        <v>201671.09999999974</v>
      </c>
      <c r="AJ250" s="10">
        <f t="shared" si="653"/>
        <v>72.27</v>
      </c>
      <c r="AK250" s="10">
        <f t="shared" si="654"/>
        <v>1114.2</v>
      </c>
      <c r="AL250" s="10">
        <f t="shared" si="655"/>
        <v>1186.47</v>
      </c>
      <c r="AM250" s="10">
        <f t="shared" si="656"/>
        <v>1322.95</v>
      </c>
      <c r="AO250" s="43">
        <f t="shared" si="657"/>
        <v>44713</v>
      </c>
      <c r="AP250" s="11">
        <f>AP$5+SUM(AS$5:AS249)-SUM(X$5:X250)+SUM(W$5:W250)</f>
        <v>96024.2516584806</v>
      </c>
      <c r="AQ250" s="10">
        <f t="shared" si="658"/>
        <v>-34.40869017762221</v>
      </c>
      <c r="AR250" s="10">
        <f>IF(AB250=1,IF(Q250="tak",AQ250,PMT(M250/12,P250+1-SUM(AB$5:AB250),AP250)),0)</f>
        <v>-545.0916020854148</v>
      </c>
      <c r="AS250" s="10">
        <f t="shared" si="659"/>
        <v>-510.68291190779263</v>
      </c>
      <c r="AT250" s="10">
        <f t="shared" si="660"/>
        <v>-2468.7198658448438</v>
      </c>
      <c r="AV250" s="11">
        <f>AV$5+SUM(AX$5:AX249)+SUM(W$5:W249)-SUM(X$5:X249)</f>
        <v>88693.40719148563</v>
      </c>
      <c r="AW250" s="11">
        <f t="shared" si="661"/>
        <v>-34.40869017762221</v>
      </c>
      <c r="AX250" s="11">
        <f t="shared" si="662"/>
        <v>-490.02</v>
      </c>
      <c r="AY250" s="11">
        <f t="shared" si="663"/>
        <v>-524.4286901776222</v>
      </c>
      <c r="AZ250" s="11">
        <f t="shared" si="664"/>
        <v>-2375.137537814451</v>
      </c>
      <c r="BB250" s="191">
        <f t="shared" si="665"/>
        <v>0.0685</v>
      </c>
      <c r="BC250" s="44">
        <f>BB250+Podsumowanie!$E$6</f>
        <v>0.0805</v>
      </c>
      <c r="BD250" s="11">
        <f>BD$5+SUM(BE$5:BE249)+SUM(R$5:R249)-SUM(S$5:S249)</f>
        <v>258612.2270021032</v>
      </c>
      <c r="BE250" s="10">
        <f t="shared" si="666"/>
        <v>-730.0049953024707</v>
      </c>
      <c r="BF250" s="10">
        <f t="shared" si="667"/>
        <v>-1734.8570228057758</v>
      </c>
      <c r="BG250" s="10">
        <f>IF(U250&lt;0,PMT(BC250/12,Podsumowanie!E$8-SUM(AB$5:AB250)+1,BD250),0)</f>
        <v>-2464.8620181082465</v>
      </c>
      <c r="BI250" s="11">
        <f>BI$5+SUM(BK$5:BK249)+SUM(R$5:R249)-SUM(S$5:S249)</f>
        <v>201671.30919220098</v>
      </c>
      <c r="BJ250" s="11">
        <f t="shared" si="668"/>
        <v>-1352.878365831015</v>
      </c>
      <c r="BK250" s="11">
        <f t="shared" si="669"/>
        <v>-1114.2061281337071</v>
      </c>
      <c r="BL250" s="11">
        <f t="shared" si="670"/>
        <v>-2467.0844939647222</v>
      </c>
      <c r="BN250" s="44">
        <f t="shared" si="671"/>
        <v>0.0806</v>
      </c>
      <c r="BO250" s="11">
        <f>BO$5+SUM(BP$5:BP249)+SUM(R$5:R249)-SUM(S$5:S249)+SUM(BS$5:BS249)</f>
        <v>242387.44123008705</v>
      </c>
      <c r="BP250" s="10">
        <f t="shared" si="672"/>
        <v>-683.591641475907</v>
      </c>
      <c r="BQ250" s="10">
        <f t="shared" si="673"/>
        <v>-1628.0356469287515</v>
      </c>
      <c r="BR250" s="10">
        <f>IF(U250&lt;0,PMT(BN250/12,Podsumowanie!E$8-SUM(AB$5:AB250)+1,BO250),0)</f>
        <v>-2311.6272884046584</v>
      </c>
      <c r="BS250" s="10">
        <f t="shared" si="674"/>
        <v>-309.7968990388358</v>
      </c>
      <c r="BU250" s="11">
        <f>BU$5+SUM(BW$5:BW249)+SUM(R$5:R249)-SUM(S$5:S249)+SUM(BY$5,BY249)</f>
        <v>201583.23516162235</v>
      </c>
      <c r="BV250" s="10">
        <f t="shared" si="675"/>
        <v>-1353.9673961688968</v>
      </c>
      <c r="BW250" s="10">
        <f t="shared" si="676"/>
        <v>-1113.7195312796814</v>
      </c>
      <c r="BX250" s="10">
        <f t="shared" si="677"/>
        <v>-2467.686927448578</v>
      </c>
      <c r="BY250" s="10">
        <f t="shared" si="678"/>
        <v>-153.73725999491626</v>
      </c>
      <c r="CA250" s="10">
        <f>CA$5+SUM(CB$5:CB249)+SUM(R$5:R249)-SUM(S$5:S249)-SUM(CC$5:CC249)</f>
        <v>209547.18603195233</v>
      </c>
      <c r="CB250" s="10">
        <f t="shared" si="679"/>
        <v>1353.9673961688968</v>
      </c>
      <c r="CC250" s="10">
        <f t="shared" si="680"/>
        <v>2621.4241874434942</v>
      </c>
      <c r="CD250" s="10">
        <f t="shared" si="681"/>
        <v>1267.4567912745974</v>
      </c>
      <c r="CF250" s="44">
        <f t="shared" si="263"/>
        <v>0.1154</v>
      </c>
      <c r="CG250" s="10">
        <f t="shared" si="268"/>
        <v>-302.51</v>
      </c>
      <c r="CH250" s="4">
        <f t="shared" si="273"/>
        <v>0</v>
      </c>
    </row>
    <row r="251" spans="1:86" ht="15.75">
      <c r="A251" s="36"/>
      <c r="B251" s="37">
        <v>44743</v>
      </c>
      <c r="C251" s="77">
        <f t="shared" si="638"/>
        <v>4.8337</v>
      </c>
      <c r="D251" s="79">
        <f>C251*(1+Podsumowanie!E$11)</f>
        <v>4.9787110000000006</v>
      </c>
      <c r="E251" s="34">
        <f t="shared" si="639"/>
        <v>-561.950105242696</v>
      </c>
      <c r="F251" s="7">
        <f t="shared" si="640"/>
        <v>-2797.7871704229688</v>
      </c>
      <c r="G251" s="7">
        <f t="shared" si="641"/>
        <v>-1239.429284821817</v>
      </c>
      <c r="H251" s="7">
        <f t="shared" si="642"/>
        <v>1558.3578856011518</v>
      </c>
      <c r="I251" s="32"/>
      <c r="K251" s="4">
        <f>IF(B251&lt;Podsumowanie!E$7,0,K250+1)</f>
        <v>181</v>
      </c>
      <c r="L251" s="100">
        <f t="shared" si="643"/>
        <v>-0.0077</v>
      </c>
      <c r="M251" s="38">
        <f>L251+Podsumowanie!E$6</f>
        <v>0.0043</v>
      </c>
      <c r="N251" s="101">
        <f>MAX(Podsumowanie!E$4+SUM(AA$5:AA250)-SUM(X$5:X251)+SUM(W$5:W251),0)</f>
        <v>98467.59664595137</v>
      </c>
      <c r="O251" s="102">
        <f>MAX(Podsumowanie!E$2+SUM(V$5:V250)-SUM(S$5:S251)+SUM(R$5:R251),0)</f>
        <v>217178.75261595732</v>
      </c>
      <c r="P251" s="39">
        <f t="shared" si="398"/>
        <v>360</v>
      </c>
      <c r="Q251" s="40" t="str">
        <f>IF(AND(K251&gt;0,K251&lt;=Podsumowanie!E$9),"tak","nie")</f>
        <v>nie</v>
      </c>
      <c r="R251" s="41"/>
      <c r="S251" s="42"/>
      <c r="T251" s="88">
        <f t="shared" si="644"/>
        <v>-77.82238635405137</v>
      </c>
      <c r="U251" s="89">
        <f>IF(Q251="tak",T251,IF(P251-SUM(AB$5:AB251)+1&gt;0,IF(Podsumowanie!E$7&lt;B251,IF(SUM(AB$5:AB251)-Podsumowanie!E$9+1&gt;0,PMT(M251/12,P251+1-SUM(AB$5:AB251),O251),T251),0),0))</f>
        <v>-1239.429284821817</v>
      </c>
      <c r="V251" s="89">
        <f t="shared" si="645"/>
        <v>-1161.6068984677656</v>
      </c>
      <c r="W251" s="90" t="str">
        <f>IF(R251&gt;0,R251/(C251*(1-Podsumowanie!E$11))," ")</f>
        <v xml:space="preserve"> </v>
      </c>
      <c r="X251" s="90" t="str">
        <f t="shared" si="646"/>
        <v xml:space="preserve"> </v>
      </c>
      <c r="Y251" s="91">
        <f t="shared" si="647"/>
        <v>-35.28422213146591</v>
      </c>
      <c r="Z251" s="90">
        <f>IF(P251-SUM(AB$5:AB251)+1&gt;0,IF(Podsumowanie!E$7&lt;B251,IF(SUM(AB$5:AB251)-Podsumowanie!E$9+1&gt;0,PMT(M251/12,P251+1-SUM(AB$5:AB251),N251),Y251),0),0)</f>
        <v>-561.950105242696</v>
      </c>
      <c r="AA251" s="90">
        <f t="shared" si="648"/>
        <v>-526.6658831112302</v>
      </c>
      <c r="AB251" s="8">
        <f>IF(AND(Podsumowanie!E$7&lt;B251,SUM(AB$5:AB250)&lt;P250),1," ")</f>
        <v>1</v>
      </c>
      <c r="AD251" s="10">
        <f>Podsumowanie!E$4-SUM(AF$5:AF250)+SUM(W$42:W251)-SUM(X$42:X251)</f>
        <v>90931.49813555248</v>
      </c>
      <c r="AE251" s="10">
        <f t="shared" si="649"/>
        <v>32.58</v>
      </c>
      <c r="AF251" s="10">
        <f t="shared" si="650"/>
        <v>505.17</v>
      </c>
      <c r="AG251" s="10">
        <f t="shared" si="651"/>
        <v>537.75</v>
      </c>
      <c r="AH251" s="10">
        <f t="shared" si="652"/>
        <v>2677.3</v>
      </c>
      <c r="AI251" s="10">
        <f>Podsumowanie!E$2-SUM(AK$5:AK250)+SUM(R$42:R251)-SUM(S$42:S251)</f>
        <v>200556.89999999973</v>
      </c>
      <c r="AJ251" s="10">
        <f t="shared" si="653"/>
        <v>71.87</v>
      </c>
      <c r="AK251" s="10">
        <f t="shared" si="654"/>
        <v>1114.21</v>
      </c>
      <c r="AL251" s="10">
        <f t="shared" si="655"/>
        <v>1186.08</v>
      </c>
      <c r="AM251" s="10">
        <f t="shared" si="656"/>
        <v>1491.2200000000003</v>
      </c>
      <c r="AO251" s="43">
        <f t="shared" si="657"/>
        <v>44743</v>
      </c>
      <c r="AP251" s="11">
        <f>AP$5+SUM(AS$5:AS250)-SUM(X$5:X251)+SUM(W$5:W251)</f>
        <v>95513.56874657281</v>
      </c>
      <c r="AQ251" s="10">
        <f t="shared" si="658"/>
        <v>-34.22569546752192</v>
      </c>
      <c r="AR251" s="10">
        <f>IF(AB251=1,IF(Q251="tak",AQ251,PMT(M251/12,P251+1-SUM(AB$5:AB251),AP251)),0)</f>
        <v>-545.0916020854149</v>
      </c>
      <c r="AS251" s="10">
        <f t="shared" si="659"/>
        <v>-510.865906617893</v>
      </c>
      <c r="AT251" s="10">
        <f t="shared" si="660"/>
        <v>-2634.8092770002704</v>
      </c>
      <c r="AV251" s="11">
        <f>AV$5+SUM(AX$5:AX250)+SUM(W$5:W250)-SUM(X$5:X250)</f>
        <v>88203.38719148563</v>
      </c>
      <c r="AW251" s="11">
        <f t="shared" si="661"/>
        <v>-34.22569546752192</v>
      </c>
      <c r="AX251" s="11">
        <f t="shared" si="662"/>
        <v>-490.02</v>
      </c>
      <c r="AY251" s="11">
        <f t="shared" si="663"/>
        <v>-524.245695467522</v>
      </c>
      <c r="AZ251" s="11">
        <f t="shared" si="664"/>
        <v>-2534.046418181361</v>
      </c>
      <c r="BB251" s="191">
        <f t="shared" si="665"/>
        <v>0.0705</v>
      </c>
      <c r="BC251" s="44">
        <f>BB251+Podsumowanie!$E$6</f>
        <v>0.08249999999999999</v>
      </c>
      <c r="BD251" s="11">
        <f>BD$5+SUM(BE$5:BE250)+SUM(R$5:R250)-SUM(S$5:S250)</f>
        <v>257882.22200680073</v>
      </c>
      <c r="BE251" s="10">
        <f t="shared" si="666"/>
        <v>-721.8760243196994</v>
      </c>
      <c r="BF251" s="10">
        <f t="shared" si="667"/>
        <v>-1772.9402762967547</v>
      </c>
      <c r="BG251" s="10">
        <f>IF(U251&lt;0,PMT(BC251/12,Podsumowanie!E$8-SUM(AB$5:AB251)+1,BD251),0)</f>
        <v>-2494.816300616454</v>
      </c>
      <c r="BI251" s="11">
        <f>BI$5+SUM(BK$5:BK250)+SUM(R$5:R250)-SUM(S$5:S250)</f>
        <v>200557.10306406728</v>
      </c>
      <c r="BJ251" s="11">
        <f t="shared" si="668"/>
        <v>-1378.8300835654625</v>
      </c>
      <c r="BK251" s="11">
        <f t="shared" si="669"/>
        <v>-1114.2061281337071</v>
      </c>
      <c r="BL251" s="11">
        <f t="shared" si="670"/>
        <v>-2493.0362116991696</v>
      </c>
      <c r="BN251" s="44">
        <f t="shared" si="671"/>
        <v>0.08259999999999999</v>
      </c>
      <c r="BO251" s="11">
        <f>BO$5+SUM(BP$5:BP250)+SUM(R$5:R250)-SUM(S$5:S250)+SUM(BS$5:BS250)</f>
        <v>241394.0526895723</v>
      </c>
      <c r="BP251" s="10">
        <f t="shared" si="672"/>
        <v>-675.1164313277698</v>
      </c>
      <c r="BQ251" s="10">
        <f t="shared" si="673"/>
        <v>-1661.595729346556</v>
      </c>
      <c r="BR251" s="10">
        <f>IF(U251&lt;0,PMT(BN251/12,Podsumowanie!E$8-SUM(AB$5:AB251)+1,BO251),0)</f>
        <v>-2336.712160674326</v>
      </c>
      <c r="BS251" s="10">
        <f t="shared" si="674"/>
        <v>-461.07500974864297</v>
      </c>
      <c r="BU251" s="11">
        <f>BU$5+SUM(BW$5:BW250)+SUM(R$5:R250)-SUM(S$5:S250)+SUM(BY$5,BY250)</f>
        <v>200517.08854662132</v>
      </c>
      <c r="BV251" s="10">
        <f t="shared" si="675"/>
        <v>-1380.2259594959098</v>
      </c>
      <c r="BW251" s="10">
        <f t="shared" si="676"/>
        <v>-1113.9838252590073</v>
      </c>
      <c r="BX251" s="10">
        <f t="shared" si="677"/>
        <v>-2494.209784754917</v>
      </c>
      <c r="BY251" s="10">
        <f t="shared" si="678"/>
        <v>-303.57738566805165</v>
      </c>
      <c r="CA251" s="10">
        <f>CA$5+SUM(CB$5:CB250)+SUM(R$5:R250)-SUM(S$5:S250)-SUM(CC$5:CC250)</f>
        <v>208279.72924067767</v>
      </c>
      <c r="CB251" s="10">
        <f t="shared" si="679"/>
        <v>1380.2259594959098</v>
      </c>
      <c r="CC251" s="10">
        <f t="shared" si="680"/>
        <v>2797.7871704229688</v>
      </c>
      <c r="CD251" s="10">
        <f t="shared" si="681"/>
        <v>1417.561210927059</v>
      </c>
      <c r="CF251" s="44">
        <f t="shared" si="263"/>
        <v>0.1098</v>
      </c>
      <c r="CG251" s="10">
        <f t="shared" si="268"/>
        <v>-307.2</v>
      </c>
      <c r="CH251" s="4">
        <f t="shared" si="273"/>
        <v>0</v>
      </c>
    </row>
    <row r="252" spans="1:86" ht="15.75">
      <c r="A252" s="36"/>
      <c r="B252" s="37">
        <v>44774</v>
      </c>
      <c r="C252" s="77">
        <f aca="true" t="shared" si="682" ref="C252">VLOOKUP(B252,Kursy,C$2)</f>
        <v>4.8714</v>
      </c>
      <c r="D252" s="79">
        <f>C252*(1+Podsumowanie!E$11)</f>
        <v>5.017542000000001</v>
      </c>
      <c r="E252" s="34">
        <f aca="true" t="shared" si="683" ref="E252">Z252</f>
        <v>-561.9501052426959</v>
      </c>
      <c r="F252" s="7">
        <f aca="true" t="shared" si="684" ref="F252">E252*D252</f>
        <v>-2819.6082549596476</v>
      </c>
      <c r="G252" s="7">
        <f aca="true" t="shared" si="685" ref="G252">U252</f>
        <v>-1239.4292848218167</v>
      </c>
      <c r="H252" s="7">
        <f aca="true" t="shared" si="686" ref="H252">G252-F252</f>
        <v>1580.178970137831</v>
      </c>
      <c r="I252" s="32"/>
      <c r="K252" s="4">
        <f>IF(B252&lt;Podsumowanie!E$7,0,K251+1)</f>
        <v>182</v>
      </c>
      <c r="L252" s="100">
        <f aca="true" t="shared" si="687" ref="L252">VLOOKUP(B252,Oproc,C$2)</f>
        <v>-0.0077</v>
      </c>
      <c r="M252" s="38">
        <f>L252+Podsumowanie!E$6</f>
        <v>0.0043</v>
      </c>
      <c r="N252" s="101">
        <f>MAX(Podsumowanie!E$4+SUM(AA$5:AA251)-SUM(X$5:X252)+SUM(W$5:W252),0)</f>
        <v>97940.93076284014</v>
      </c>
      <c r="O252" s="102">
        <f>MAX(Podsumowanie!E$2+SUM(V$5:V251)-SUM(S$5:S252)+SUM(R$5:R252),0)</f>
        <v>216017.14571748956</v>
      </c>
      <c r="P252" s="39">
        <f t="shared" si="398"/>
        <v>360</v>
      </c>
      <c r="Q252" s="40" t="str">
        <f>IF(AND(K252&gt;0,K252&lt;=Podsumowanie!E$9),"tak","nie")</f>
        <v>nie</v>
      </c>
      <c r="R252" s="41"/>
      <c r="S252" s="42"/>
      <c r="T252" s="88">
        <f aca="true" t="shared" si="688" ref="T252">IF(AB252=1,-O252*M252/12,0)</f>
        <v>-77.40614388210042</v>
      </c>
      <c r="U252" s="89">
        <f>IF(Q252="tak",T252,IF(P252-SUM(AB$5:AB252)+1&gt;0,IF(Podsumowanie!E$7&lt;B252,IF(SUM(AB$5:AB252)-Podsumowanie!E$9+1&gt;0,PMT(M252/12,P252+1-SUM(AB$5:AB252),O252),T252),0),0))</f>
        <v>-1239.4292848218167</v>
      </c>
      <c r="V252" s="89">
        <f aca="true" t="shared" si="689" ref="V252">U252-T252</f>
        <v>-1162.0231409397163</v>
      </c>
      <c r="W252" s="90" t="str">
        <f>IF(R252&gt;0,R252/(C252*(1-Podsumowanie!E$11))," ")</f>
        <v xml:space="preserve"> </v>
      </c>
      <c r="X252" s="90" t="str">
        <f aca="true" t="shared" si="690" ref="X252">IF(S252&gt;0,S252/D252," ")</f>
        <v xml:space="preserve"> </v>
      </c>
      <c r="Y252" s="91">
        <f aca="true" t="shared" si="691" ref="Y252">IF(AB252=1,-N252*M252/12,0)</f>
        <v>-35.09550019001772</v>
      </c>
      <c r="Z252" s="90">
        <f>IF(P252-SUM(AB$5:AB252)+1&gt;0,IF(Podsumowanie!E$7&lt;B252,IF(SUM(AB$5:AB252)-Podsumowanie!E$9+1&gt;0,PMT(M252/12,P252+1-SUM(AB$5:AB252),N252),Y252),0),0)</f>
        <v>-561.9501052426959</v>
      </c>
      <c r="AA252" s="90">
        <f aca="true" t="shared" si="692" ref="AA252">Z252-Y252</f>
        <v>-526.8546050526783</v>
      </c>
      <c r="AB252" s="8">
        <f>IF(AND(Podsumowanie!E$7&lt;B252,SUM(AB$5:AB251)&lt;P251),1," ")</f>
        <v>1</v>
      </c>
      <c r="AD252" s="10">
        <f>Podsumowanie!E$4-SUM(AF$5:AF251)+SUM(W$42:W252)-SUM(X$42:X252)</f>
        <v>90426.32813555248</v>
      </c>
      <c r="AE252" s="10">
        <f aca="true" t="shared" si="693" ref="AE252">IF(AB252=1,ROUND(AD252*M252/12,2),0)</f>
        <v>32.4</v>
      </c>
      <c r="AF252" s="10">
        <f aca="true" t="shared" si="694" ref="AF252">IF(Q252="tak",0,IF(AB252=1,ROUND(AD252/(P252-K252+1),2),0))</f>
        <v>505.18</v>
      </c>
      <c r="AG252" s="10">
        <f aca="true" t="shared" si="695" ref="AG252">AF252+AE252</f>
        <v>537.58</v>
      </c>
      <c r="AH252" s="10">
        <f aca="true" t="shared" si="696" ref="AH252">ROUND(AG252*D252,2)</f>
        <v>2697.33</v>
      </c>
      <c r="AI252" s="10">
        <f>Podsumowanie!E$2-SUM(AK$5:AK251)+SUM(R$42:R252)-SUM(S$42:S252)</f>
        <v>199442.68999999974</v>
      </c>
      <c r="AJ252" s="10">
        <f aca="true" t="shared" si="697" ref="AJ252">IF(AB252=1,ROUND(AI252*M252/12,2),0)</f>
        <v>71.47</v>
      </c>
      <c r="AK252" s="10">
        <f aca="true" t="shared" si="698" ref="AK252">IF(Q252="tak",0,IF(AB252=1,ROUND(AI252/(P252-K252+1),2),0))</f>
        <v>1114.2</v>
      </c>
      <c r="AL252" s="10">
        <f aca="true" t="shared" si="699" ref="AL252">AK252+AJ252</f>
        <v>1185.67</v>
      </c>
      <c r="AM252" s="10">
        <f aca="true" t="shared" si="700" ref="AM252">AH252-AL252</f>
        <v>1511.6599999999999</v>
      </c>
      <c r="AO252" s="43">
        <f aca="true" t="shared" si="701" ref="AO252">B252</f>
        <v>44774</v>
      </c>
      <c r="AP252" s="11">
        <f>AP$5+SUM(AS$5:AS251)-SUM(X$5:X252)+SUM(W$5:W252)</f>
        <v>95002.70283995492</v>
      </c>
      <c r="AQ252" s="10">
        <f aca="true" t="shared" si="702" ref="AQ252">IF(AB252=1,-AP252*M252/12,0)</f>
        <v>-34.04263518431718</v>
      </c>
      <c r="AR252" s="10">
        <f>IF(AB252=1,IF(Q252="tak",AQ252,PMT(M252/12,P252+1-SUM(AB$5:AB252),AP252)),0)</f>
        <v>-545.0916020854148</v>
      </c>
      <c r="AS252" s="10">
        <f aca="true" t="shared" si="703" ref="AS252">AR252-AQ252</f>
        <v>-511.04896690109763</v>
      </c>
      <c r="AT252" s="10">
        <f aca="true" t="shared" si="704" ref="AT252">AR252*C252</f>
        <v>-2655.35923039889</v>
      </c>
      <c r="AV252" s="11">
        <f>AV$5+SUM(AX$5:AX251)+SUM(W$5:W251)-SUM(X$5:X251)</f>
        <v>87713.36719148562</v>
      </c>
      <c r="AW252" s="11">
        <f aca="true" t="shared" si="705" ref="AW252">IF(AB252=1,-AP252*M252/12,0)</f>
        <v>-34.04263518431718</v>
      </c>
      <c r="AX252" s="11">
        <f aca="true" t="shared" si="706" ref="AX252">IF(AB252=1,IF(Q252="tak",0,ROUND(-AV252/(P252-K252+1),2)),0)</f>
        <v>-490.02</v>
      </c>
      <c r="AY252" s="11">
        <f aca="true" t="shared" si="707" ref="AY252">AX252+AW252</f>
        <v>-524.0626351843172</v>
      </c>
      <c r="AZ252" s="11">
        <f aca="true" t="shared" si="708" ref="AZ252">AY252*C252</f>
        <v>-2552.9187210368827</v>
      </c>
      <c r="BB252" s="191">
        <f aca="true" t="shared" si="709" ref="BB252">VLOOKUP(B252,Oproc,5)</f>
        <v>0.0705</v>
      </c>
      <c r="BC252" s="44">
        <f>BB252+Podsumowanie!$E$6</f>
        <v>0.08249999999999999</v>
      </c>
      <c r="BD252" s="11">
        <f>BD$5+SUM(BE$5:BE251)+SUM(R$5:R251)-SUM(S$5:S251)</f>
        <v>257160.34598248103</v>
      </c>
      <c r="BE252" s="10">
        <f aca="true" t="shared" si="710" ref="BE252">IF(BG252&lt;0,BG252-BF252,0)</f>
        <v>-726.838921986897</v>
      </c>
      <c r="BF252" s="10">
        <f aca="true" t="shared" si="711" ref="BF252">IF(BG252&lt;0,-BD252*BC252/12,0)</f>
        <v>-1767.977378629557</v>
      </c>
      <c r="BG252" s="10">
        <f>IF(U252&lt;0,PMT(BC252/12,Podsumowanie!E$8-SUM(AB$5:AB252)+1,BD252),0)</f>
        <v>-2494.816300616454</v>
      </c>
      <c r="BI252" s="11">
        <f>BI$5+SUM(BK$5:BK251)+SUM(R$5:R251)-SUM(S$5:S251)</f>
        <v>199442.8969359336</v>
      </c>
      <c r="BJ252" s="11">
        <f aca="true" t="shared" si="712" ref="BJ252">IF(AB252=1,-BC252*BI252/12,0)</f>
        <v>-1371.1699164345434</v>
      </c>
      <c r="BK252" s="11">
        <f aca="true" t="shared" si="713" ref="BK252">IF(AB252=1,-BI252/(P252-K252+1),0)</f>
        <v>-1114.2061281337071</v>
      </c>
      <c r="BL252" s="11">
        <f aca="true" t="shared" si="714" ref="BL252">BK252+BJ252</f>
        <v>-2485.3760445682506</v>
      </c>
      <c r="BN252" s="44">
        <f aca="true" t="shared" si="715" ref="BN252">BB252+$BN$4</f>
        <v>0.08259999999999999</v>
      </c>
      <c r="BO252" s="11">
        <f>BO$5+SUM(BP$5:BP251)+SUM(R$5:R251)-SUM(S$5:S251)+SUM(BS$5:BS251)</f>
        <v>240257.8612484959</v>
      </c>
      <c r="BP252" s="10">
        <f aca="true" t="shared" si="716" ref="BP252">IF(BR252&lt;0,BR252-BQ252,0)</f>
        <v>-678.46145825585</v>
      </c>
      <c r="BQ252" s="10">
        <f aca="true" t="shared" si="717" ref="BQ252">IF(BR252&lt;0,-BO252*BN252/12,0)</f>
        <v>-1653.7749449271466</v>
      </c>
      <c r="BR252" s="10">
        <f>IF(U252&lt;0,PMT(BN252/12,Podsumowanie!E$8-SUM(AB$5:AB252)+1,BO252),0)</f>
        <v>-2332.2364031829966</v>
      </c>
      <c r="BS252" s="10">
        <f aca="true" t="shared" si="718" ref="BS252">F252-BR252</f>
        <v>-487.37185177665106</v>
      </c>
      <c r="BU252" s="11">
        <f>BU$5+SUM(BW$5:BW251)+SUM(R$5:R251)-SUM(S$5:S251)+SUM(BY$5,BY251)</f>
        <v>199253.2645956892</v>
      </c>
      <c r="BV252" s="10">
        <f aca="true" t="shared" si="719" ref="BV252">IF(AB252=1,-BN252*BU252/12,0)</f>
        <v>-1371.5266379669938</v>
      </c>
      <c r="BW252" s="10">
        <f aca="true" t="shared" si="720" ref="BW252">IF(AB252=1,-BU252/(P252-K252+1),0)</f>
        <v>-1113.1467295848558</v>
      </c>
      <c r="BX252" s="10">
        <f aca="true" t="shared" si="721" ref="BX252">BW252+BV252</f>
        <v>-2484.67336755185</v>
      </c>
      <c r="BY252" s="10">
        <f aca="true" t="shared" si="722" ref="BY252">$F252-BX252</f>
        <v>-334.93488740779776</v>
      </c>
      <c r="CA252" s="10">
        <f>CA$5+SUM(CB$5:CB251)+SUM(R$5:R251)-SUM(S$5:S251)-SUM(CC$5:CC251)</f>
        <v>206862.16802975058</v>
      </c>
      <c r="CB252" s="10">
        <f aca="true" t="shared" si="723" ref="CB252">IF(AB252=1,BN252*BU252/12,0)</f>
        <v>1371.5266379669938</v>
      </c>
      <c r="CC252" s="10">
        <f aca="true" t="shared" si="724" ref="CC252">-F252</f>
        <v>2819.6082549596476</v>
      </c>
      <c r="CD252" s="10">
        <f aca="true" t="shared" si="725" ref="CD252">CC252-CB252</f>
        <v>1448.0816169926538</v>
      </c>
      <c r="CF252" s="44">
        <f t="shared" si="263"/>
        <v>0.101</v>
      </c>
      <c r="CG252" s="10">
        <f t="shared" si="268"/>
        <v>-284.78</v>
      </c>
      <c r="CH252" s="4">
        <f t="shared" si="273"/>
        <v>0</v>
      </c>
    </row>
    <row r="253" spans="1:86" ht="15.75">
      <c r="A253" s="36"/>
      <c r="B253" s="37">
        <v>44805</v>
      </c>
      <c r="C253" s="77">
        <f aca="true" t="shared" si="726" ref="C253:C255">VLOOKUP(B253,Kursy,C$2)</f>
        <v>4.9137</v>
      </c>
      <c r="D253" s="79">
        <f>C253*(1+Podsumowanie!E$11)</f>
        <v>5.061111</v>
      </c>
      <c r="E253" s="34">
        <f aca="true" t="shared" si="727" ref="E253:E255">Z253</f>
        <v>-561.9501052426959</v>
      </c>
      <c r="F253" s="7">
        <f aca="true" t="shared" si="728" ref="F253:F255">E253*D253</f>
        <v>-2844.0918590949664</v>
      </c>
      <c r="G253" s="7">
        <f aca="true" t="shared" si="729" ref="G253:G255">U253</f>
        <v>-1239.429284821817</v>
      </c>
      <c r="H253" s="7">
        <f aca="true" t="shared" si="730" ref="H253:H255">G253-F253</f>
        <v>1604.6625742731494</v>
      </c>
      <c r="I253" s="32"/>
      <c r="K253" s="4">
        <f>IF(B253&lt;Podsumowanie!E$7,0,K252+1)</f>
        <v>183</v>
      </c>
      <c r="L253" s="100">
        <f aca="true" t="shared" si="731" ref="L253:L255">VLOOKUP(B253,Oproc,C$2)</f>
        <v>-0.0077</v>
      </c>
      <c r="M253" s="38">
        <f>L253+Podsumowanie!E$6</f>
        <v>0.0043</v>
      </c>
      <c r="N253" s="101">
        <f>MAX(Podsumowanie!E$4+SUM(AA$5:AA252)-SUM(X$5:X253)+SUM(W$5:W253),0)</f>
        <v>97414.07615778747</v>
      </c>
      <c r="O253" s="102">
        <f>MAX(Podsumowanie!E$2+SUM(V$5:V252)-SUM(S$5:S253)+SUM(R$5:R253),0)</f>
        <v>214855.12257654985</v>
      </c>
      <c r="P253" s="39">
        <f t="shared" si="398"/>
        <v>360</v>
      </c>
      <c r="Q253" s="40" t="str">
        <f>IF(AND(K253&gt;0,K253&lt;=Podsumowanie!E$9),"tak","nie")</f>
        <v>nie</v>
      </c>
      <c r="R253" s="41"/>
      <c r="S253" s="42"/>
      <c r="T253" s="88">
        <f aca="true" t="shared" si="732" ref="T253:T255">IF(AB253=1,-O253*M253/12,0)</f>
        <v>-76.98975225659703</v>
      </c>
      <c r="U253" s="89">
        <f>IF(Q253="tak",T253,IF(P253-SUM(AB$5:AB253)+1&gt;0,IF(Podsumowanie!E$7&lt;B253,IF(SUM(AB$5:AB253)-Podsumowanie!E$9+1&gt;0,PMT(M253/12,P253+1-SUM(AB$5:AB253),O253),T253),0),0))</f>
        <v>-1239.429284821817</v>
      </c>
      <c r="V253" s="89">
        <f aca="true" t="shared" si="733" ref="V253:V255">U253-T253</f>
        <v>-1162.43953256522</v>
      </c>
      <c r="W253" s="90" t="str">
        <f>IF(R253&gt;0,R253/(C253*(1-Podsumowanie!E$11))," ")</f>
        <v xml:space="preserve"> </v>
      </c>
      <c r="X253" s="90" t="str">
        <f aca="true" t="shared" si="734" ref="X253:X255">IF(S253&gt;0,S253/D253," ")</f>
        <v xml:space="preserve"> </v>
      </c>
      <c r="Y253" s="91">
        <f aca="true" t="shared" si="735" ref="Y253:Y255">IF(AB253=1,-N253*M253/12,0)</f>
        <v>-34.906710623207175</v>
      </c>
      <c r="Z253" s="90">
        <f>IF(P253-SUM(AB$5:AB253)+1&gt;0,IF(Podsumowanie!E$7&lt;B253,IF(SUM(AB$5:AB253)-Podsumowanie!E$9+1&gt;0,PMT(M253/12,P253+1-SUM(AB$5:AB253),N253),Y253),0),0)</f>
        <v>-561.9501052426959</v>
      </c>
      <c r="AA253" s="90">
        <f aca="true" t="shared" si="736" ref="AA253:AA255">Z253-Y253</f>
        <v>-527.0433946194887</v>
      </c>
      <c r="AB253" s="8">
        <f>IF(AND(Podsumowanie!E$7&lt;B253,SUM(AB$5:AB252)&lt;P252),1," ")</f>
        <v>1</v>
      </c>
      <c r="AD253" s="10">
        <f>Podsumowanie!E$4-SUM(AF$5:AF252)+SUM(W$42:W253)-SUM(X$42:X253)</f>
        <v>89921.14813555249</v>
      </c>
      <c r="AE253" s="10">
        <f aca="true" t="shared" si="737" ref="AE253:AE255">IF(AB253=1,ROUND(AD253*M253/12,2),0)</f>
        <v>32.22</v>
      </c>
      <c r="AF253" s="10">
        <f aca="true" t="shared" si="738" ref="AF253:AF255">IF(Q253="tak",0,IF(AB253=1,ROUND(AD253/(P253-K253+1),2),0))</f>
        <v>505.17</v>
      </c>
      <c r="AG253" s="10">
        <f aca="true" t="shared" si="739" ref="AG253:AG255">AF253+AE253</f>
        <v>537.39</v>
      </c>
      <c r="AH253" s="10">
        <f aca="true" t="shared" si="740" ref="AH253:AH255">ROUND(AG253*D253,2)</f>
        <v>2719.79</v>
      </c>
      <c r="AI253" s="10">
        <f>Podsumowanie!E$2-SUM(AK$5:AK252)+SUM(R$42:R253)-SUM(S$42:S253)</f>
        <v>198328.48999999973</v>
      </c>
      <c r="AJ253" s="10">
        <f aca="true" t="shared" si="741" ref="AJ253:AJ255">IF(AB253=1,ROUND(AI253*M253/12,2),0)</f>
        <v>71.07</v>
      </c>
      <c r="AK253" s="10">
        <f aca="true" t="shared" si="742" ref="AK253:AK255">IF(Q253="tak",0,IF(AB253=1,ROUND(AI253/(P253-K253+1),2),0))</f>
        <v>1114.21</v>
      </c>
      <c r="AL253" s="10">
        <f aca="true" t="shared" si="743" ref="AL253:AL255">AK253+AJ253</f>
        <v>1185.28</v>
      </c>
      <c r="AM253" s="10">
        <f aca="true" t="shared" si="744" ref="AM253:AM255">AH253-AL253</f>
        <v>1534.51</v>
      </c>
      <c r="AO253" s="43">
        <f aca="true" t="shared" si="745" ref="AO253:AO255">B253</f>
        <v>44805</v>
      </c>
      <c r="AP253" s="11">
        <f>AP$5+SUM(AS$5:AS252)-SUM(X$5:X253)+SUM(W$5:W253)</f>
        <v>94491.65387305382</v>
      </c>
      <c r="AQ253" s="10">
        <f aca="true" t="shared" si="746" ref="AQ253:AQ255">IF(AB253=1,-AP253*M253/12,0)</f>
        <v>-33.85950930451095</v>
      </c>
      <c r="AR253" s="10">
        <f>IF(AB253=1,IF(Q253="tak",AQ253,PMT(M253/12,P253+1-SUM(AB$5:AB253),AP253)),0)</f>
        <v>-545.0916020854148</v>
      </c>
      <c r="AS253" s="10">
        <f aca="true" t="shared" si="747" ref="AS253:AS255">AR253-AQ253</f>
        <v>-511.2320927809039</v>
      </c>
      <c r="AT253" s="10">
        <f aca="true" t="shared" si="748" ref="AT253:AT255">AR253*C253</f>
        <v>-2678.416605167103</v>
      </c>
      <c r="AV253" s="11">
        <f>AV$5+SUM(AX$5:AX252)+SUM(W$5:W252)-SUM(X$5:X252)</f>
        <v>87223.34719148562</v>
      </c>
      <c r="AW253" s="11">
        <f aca="true" t="shared" si="749" ref="AW253:AW255">IF(AB253=1,-AP253*M253/12,0)</f>
        <v>-33.85950930451095</v>
      </c>
      <c r="AX253" s="11">
        <f aca="true" t="shared" si="750" ref="AX253:AX255">IF(AB253=1,IF(Q253="tak",0,ROUND(-AV253/(P253-K253+1),2)),0)</f>
        <v>-490.02</v>
      </c>
      <c r="AY253" s="11">
        <f aca="true" t="shared" si="751" ref="AY253:AY255">AX253+AW253</f>
        <v>-523.879509304511</v>
      </c>
      <c r="AZ253" s="11">
        <f aca="true" t="shared" si="752" ref="AZ253:AZ255">AY253*C253</f>
        <v>-2574.1867448695757</v>
      </c>
      <c r="BB253" s="191">
        <f aca="true" t="shared" si="753" ref="BB253:BB255">VLOOKUP(B253,Oproc,5)</f>
        <v>0.0705</v>
      </c>
      <c r="BC253" s="44">
        <f>BB253+Podsumowanie!$E$6</f>
        <v>0.08249999999999999</v>
      </c>
      <c r="BD253" s="11">
        <f>BD$5+SUM(BE$5:BE252)+SUM(R$5:R252)-SUM(S$5:S252)</f>
        <v>256433.50706049413</v>
      </c>
      <c r="BE253" s="10">
        <f aca="true" t="shared" si="754" ref="BE253:BE255">IF(BG253&lt;0,BG253-BF253,0)</f>
        <v>-731.8359395755572</v>
      </c>
      <c r="BF253" s="10">
        <f aca="true" t="shared" si="755" ref="BF253:BF255">IF(BG253&lt;0,-BD253*BC253/12,0)</f>
        <v>-1762.980361040897</v>
      </c>
      <c r="BG253" s="10">
        <f>IF(U253&lt;0,PMT(BC253/12,Podsumowanie!E$8-SUM(AB$5:AB253)+1,BD253),0)</f>
        <v>-2494.816300616454</v>
      </c>
      <c r="BI253" s="11">
        <f>BI$5+SUM(BK$5:BK252)+SUM(R$5:R252)-SUM(S$5:S252)</f>
        <v>198328.6908077999</v>
      </c>
      <c r="BJ253" s="11">
        <f aca="true" t="shared" si="756" ref="BJ253:BJ255">IF(AB253=1,-BC253*BI253/12,0)</f>
        <v>-1363.5097493036242</v>
      </c>
      <c r="BK253" s="11">
        <f aca="true" t="shared" si="757" ref="BK253:BK255">IF(AB253=1,-BI253/(P253-K253+1),0)</f>
        <v>-1114.2061281337074</v>
      </c>
      <c r="BL253" s="11">
        <f aca="true" t="shared" si="758" ref="BL253:BL255">BK253+BJ253</f>
        <v>-2477.7158774373315</v>
      </c>
      <c r="BN253" s="44">
        <f aca="true" t="shared" si="759" ref="BN253:BN255">BB253+$BN$4</f>
        <v>0.08259999999999999</v>
      </c>
      <c r="BO253" s="11">
        <f>BO$5+SUM(BP$5:BP252)+SUM(R$5:R252)-SUM(S$5:S252)+SUM(BS$5:BS252)</f>
        <v>239092.02793846338</v>
      </c>
      <c r="BP253" s="10">
        <f aca="true" t="shared" si="760" ref="BP253:BP255">IF(BR253&lt;0,BR253-BQ253,0)</f>
        <v>-681.7418530376528</v>
      </c>
      <c r="BQ253" s="10">
        <f aca="true" t="shared" si="761" ref="BQ253:BQ255">IF(BR253&lt;0,-BO253*BN253/12,0)</f>
        <v>-1645.7501256430894</v>
      </c>
      <c r="BR253" s="10">
        <f>IF(U253&lt;0,PMT(BN253/12,Podsumowanie!E$8-SUM(AB$5:AB253)+1,BO253),0)</f>
        <v>-2327.4919786807422</v>
      </c>
      <c r="BS253" s="10">
        <f aca="true" t="shared" si="762" ref="BS253:BS255">F253-BR253</f>
        <v>-516.5998804142241</v>
      </c>
      <c r="BU253" s="11">
        <f>BU$5+SUM(BW$5:BW252)+SUM(R$5:R252)-SUM(S$5:S252)+SUM(BY$5,BY252)</f>
        <v>198108.76036436463</v>
      </c>
      <c r="BV253" s="10">
        <f aca="true" t="shared" si="763" ref="BV253:BV255">IF(AB253=1,-BN253*BU253/12,0)</f>
        <v>-1363.6486338413763</v>
      </c>
      <c r="BW253" s="10">
        <f aca="true" t="shared" si="764" ref="BW253:BW255">IF(AB253=1,-BU253/(P253-K253+1),0)</f>
        <v>-1112.9705638447451</v>
      </c>
      <c r="BX253" s="10">
        <f aca="true" t="shared" si="765" ref="BX253:BX255">BW253+BV253</f>
        <v>-2476.6191976861214</v>
      </c>
      <c r="BY253" s="10">
        <f aca="true" t="shared" si="766" ref="BY253:BY255">$F253-BX253</f>
        <v>-367.47266140884494</v>
      </c>
      <c r="CA253" s="10">
        <f>CA$5+SUM(CB$5:CB252)+SUM(R$5:R252)-SUM(S$5:S252)-SUM(CC$5:CC252)</f>
        <v>205414.08641275804</v>
      </c>
      <c r="CB253" s="10">
        <f aca="true" t="shared" si="767" ref="CB253:CB255">IF(AB253=1,BN253*BU253/12,0)</f>
        <v>1363.6486338413763</v>
      </c>
      <c r="CC253" s="10">
        <f aca="true" t="shared" si="768" ref="CC253:CC255">-F253</f>
        <v>2844.0918590949664</v>
      </c>
      <c r="CD253" s="10">
        <f aca="true" t="shared" si="769" ref="CD253:CD255">CC253-CB253</f>
        <v>1480.44322525359</v>
      </c>
      <c r="CF253" s="44">
        <f t="shared" si="263"/>
        <v>0.0837</v>
      </c>
      <c r="CG253" s="10">
        <f t="shared" si="268"/>
        <v>-238.05</v>
      </c>
      <c r="CH253" s="4">
        <f t="shared" si="273"/>
        <v>0</v>
      </c>
    </row>
    <row r="254" spans="1:86" ht="15.75">
      <c r="A254" s="36"/>
      <c r="B254" s="37">
        <v>44835</v>
      </c>
      <c r="C254" s="77">
        <f t="shared" si="726"/>
        <v>4.917</v>
      </c>
      <c r="D254" s="79">
        <f>C254*(1+Podsumowanie!E$11)</f>
        <v>5.06451</v>
      </c>
      <c r="E254" s="34">
        <f t="shared" si="727"/>
        <v>-561.9501052426958</v>
      </c>
      <c r="F254" s="7">
        <f t="shared" si="728"/>
        <v>-2846.0019275026857</v>
      </c>
      <c r="G254" s="7">
        <f t="shared" si="729"/>
        <v>-1239.4292848218165</v>
      </c>
      <c r="H254" s="7">
        <f t="shared" si="730"/>
        <v>1606.5726426808692</v>
      </c>
      <c r="I254" s="32"/>
      <c r="K254" s="4">
        <f>IF(B254&lt;Podsumowanie!E$7,0,K253+1)</f>
        <v>184</v>
      </c>
      <c r="L254" s="100">
        <f t="shared" si="731"/>
        <v>-0.0077</v>
      </c>
      <c r="M254" s="38">
        <f>L254+Podsumowanie!E$6</f>
        <v>0.0043</v>
      </c>
      <c r="N254" s="101">
        <f>MAX(Podsumowanie!E$4+SUM(AA$5:AA253)-SUM(X$5:X254)+SUM(W$5:W254),0)</f>
        <v>96887.03276316798</v>
      </c>
      <c r="O254" s="102">
        <f>MAX(Podsumowanie!E$2+SUM(V$5:V253)-SUM(S$5:S254)+SUM(R$5:R254),0)</f>
        <v>213692.68304398464</v>
      </c>
      <c r="P254" s="39">
        <f t="shared" si="398"/>
        <v>360</v>
      </c>
      <c r="Q254" s="40" t="str">
        <f>IF(AND(K254&gt;0,K254&lt;=Podsumowanie!E$9),"tak","nie")</f>
        <v>nie</v>
      </c>
      <c r="R254" s="41"/>
      <c r="S254" s="42"/>
      <c r="T254" s="88">
        <f t="shared" si="732"/>
        <v>-76.5732114240945</v>
      </c>
      <c r="U254" s="89">
        <f>IF(Q254="tak",T254,IF(P254-SUM(AB$5:AB254)+1&gt;0,IF(Podsumowanie!E$7&lt;B254,IF(SUM(AB$5:AB254)-Podsumowanie!E$9+1&gt;0,PMT(M254/12,P254+1-SUM(AB$5:AB254),O254),T254),0),0))</f>
        <v>-1239.4292848218165</v>
      </c>
      <c r="V254" s="89">
        <f t="shared" si="733"/>
        <v>-1162.856073397722</v>
      </c>
      <c r="W254" s="90" t="str">
        <f>IF(R254&gt;0,R254/(C254*(1-Podsumowanie!E$11))," ")</f>
        <v xml:space="preserve"> </v>
      </c>
      <c r="X254" s="90" t="str">
        <f t="shared" si="734"/>
        <v xml:space="preserve"> </v>
      </c>
      <c r="Y254" s="91">
        <f t="shared" si="735"/>
        <v>-34.71785340680186</v>
      </c>
      <c r="Z254" s="90">
        <f>IF(P254-SUM(AB$5:AB254)+1&gt;0,IF(Podsumowanie!E$7&lt;B254,IF(SUM(AB$5:AB254)-Podsumowanie!E$9+1&gt;0,PMT(M254/12,P254+1-SUM(AB$5:AB254),N254),Y254),0),0)</f>
        <v>-561.9501052426958</v>
      </c>
      <c r="AA254" s="90">
        <f t="shared" si="736"/>
        <v>-527.232251835894</v>
      </c>
      <c r="AB254" s="8">
        <f>IF(AND(Podsumowanie!E$7&lt;B254,SUM(AB$5:AB253)&lt;P253),1," ")</f>
        <v>1</v>
      </c>
      <c r="AD254" s="10">
        <f>Podsumowanie!E$4-SUM(AF$5:AF253)+SUM(W$42:W254)-SUM(X$42:X254)</f>
        <v>89415.97813555249</v>
      </c>
      <c r="AE254" s="10">
        <f t="shared" si="737"/>
        <v>32.04</v>
      </c>
      <c r="AF254" s="10">
        <f t="shared" si="738"/>
        <v>505.18</v>
      </c>
      <c r="AG254" s="10">
        <f t="shared" si="739"/>
        <v>537.22</v>
      </c>
      <c r="AH254" s="10">
        <f t="shared" si="740"/>
        <v>2720.76</v>
      </c>
      <c r="AI254" s="10">
        <f>Podsumowanie!E$2-SUM(AK$5:AK253)+SUM(R$42:R254)-SUM(S$42:S254)</f>
        <v>197214.27999999974</v>
      </c>
      <c r="AJ254" s="10">
        <f t="shared" si="741"/>
        <v>70.67</v>
      </c>
      <c r="AK254" s="10">
        <f t="shared" si="742"/>
        <v>1114.2</v>
      </c>
      <c r="AL254" s="10">
        <f t="shared" si="743"/>
        <v>1184.8700000000001</v>
      </c>
      <c r="AM254" s="10">
        <f t="shared" si="744"/>
        <v>1535.89</v>
      </c>
      <c r="AO254" s="43">
        <f t="shared" si="745"/>
        <v>44835</v>
      </c>
      <c r="AP254" s="11">
        <f>AP$5+SUM(AS$5:AS253)-SUM(X$5:X254)+SUM(W$5:W254)</f>
        <v>93980.42178027291</v>
      </c>
      <c r="AQ254" s="10">
        <f t="shared" si="746"/>
        <v>-33.676317804597794</v>
      </c>
      <c r="AR254" s="10">
        <f>IF(AB254=1,IF(Q254="tak",AQ254,PMT(M254/12,P254+1-SUM(AB$5:AB254),AP254)),0)</f>
        <v>-545.0916020854148</v>
      </c>
      <c r="AS254" s="10">
        <f t="shared" si="747"/>
        <v>-511.41528428081705</v>
      </c>
      <c r="AT254" s="10">
        <f t="shared" si="748"/>
        <v>-2680.2154074539844</v>
      </c>
      <c r="AV254" s="11">
        <f>AV$5+SUM(AX$5:AX253)+SUM(W$5:W253)-SUM(X$5:X253)</f>
        <v>86733.32719148562</v>
      </c>
      <c r="AW254" s="11">
        <f t="shared" si="749"/>
        <v>-33.676317804597794</v>
      </c>
      <c r="AX254" s="11">
        <f t="shared" si="750"/>
        <v>-490.02</v>
      </c>
      <c r="AY254" s="11">
        <f t="shared" si="751"/>
        <v>-523.6963178045978</v>
      </c>
      <c r="AZ254" s="11">
        <f t="shared" si="752"/>
        <v>-2575.0147946452075</v>
      </c>
      <c r="BB254" s="191">
        <f t="shared" si="753"/>
        <v>0.0718</v>
      </c>
      <c r="BC254" s="44">
        <f>BB254+Podsumowanie!$E$6</f>
        <v>0.0838</v>
      </c>
      <c r="BD254" s="11">
        <f>BD$5+SUM(BE$5:BE253)+SUM(R$5:R253)-SUM(S$5:S253)</f>
        <v>255701.67112091856</v>
      </c>
      <c r="BE254" s="10">
        <f t="shared" si="754"/>
        <v>-728.4889763783867</v>
      </c>
      <c r="BF254" s="10">
        <f t="shared" si="755"/>
        <v>-1785.650003327748</v>
      </c>
      <c r="BG254" s="10">
        <f>IF(U254&lt;0,PMT(BC254/12,Podsumowanie!E$8-SUM(AB$5:AB254)+1,BD254),0)</f>
        <v>-2514.1389797061347</v>
      </c>
      <c r="BI254" s="11">
        <f>BI$5+SUM(BK$5:BK253)+SUM(R$5:R253)-SUM(S$5:S253)</f>
        <v>197214.4846796662</v>
      </c>
      <c r="BJ254" s="11">
        <f t="shared" si="756"/>
        <v>-1377.214484679669</v>
      </c>
      <c r="BK254" s="11">
        <f t="shared" si="757"/>
        <v>-1114.2061281337074</v>
      </c>
      <c r="BL254" s="11">
        <f t="shared" si="758"/>
        <v>-2491.4206128133765</v>
      </c>
      <c r="BN254" s="44">
        <f t="shared" si="759"/>
        <v>0.0839</v>
      </c>
      <c r="BO254" s="11">
        <f>BO$5+SUM(BP$5:BP253)+SUM(R$5:R253)-SUM(S$5:S253)+SUM(BS$5:BS253)</f>
        <v>237893.6862050115</v>
      </c>
      <c r="BP254" s="10">
        <f t="shared" si="760"/>
        <v>-677.1577012754362</v>
      </c>
      <c r="BQ254" s="10">
        <f t="shared" si="761"/>
        <v>-1663.273356050039</v>
      </c>
      <c r="BR254" s="10">
        <f>IF(U254&lt;0,PMT(BN254/12,Podsumowanie!E$8-SUM(AB$5:AB254)+1,BO254),0)</f>
        <v>-2340.431057325475</v>
      </c>
      <c r="BS254" s="10">
        <f t="shared" si="762"/>
        <v>-505.5708701772105</v>
      </c>
      <c r="BU254" s="11">
        <f>BU$5+SUM(BW$5:BW253)+SUM(R$5:R253)-SUM(S$5:S253)+SUM(BY$5,BY253)</f>
        <v>196963.2520265188</v>
      </c>
      <c r="BV254" s="10">
        <f t="shared" si="763"/>
        <v>-1377.1014037520774</v>
      </c>
      <c r="BW254" s="10">
        <f t="shared" si="764"/>
        <v>-1112.7867346131006</v>
      </c>
      <c r="BX254" s="10">
        <f t="shared" si="765"/>
        <v>-2489.888138365178</v>
      </c>
      <c r="BY254" s="10">
        <f t="shared" si="766"/>
        <v>-356.11378913750787</v>
      </c>
      <c r="CA254" s="10">
        <f>CA$5+SUM(CB$5:CB253)+SUM(R$5:R253)-SUM(S$5:S253)-SUM(CC$5:CC253)</f>
        <v>203933.64318750438</v>
      </c>
      <c r="CB254" s="10">
        <f t="shared" si="767"/>
        <v>1377.1014037520774</v>
      </c>
      <c r="CC254" s="10">
        <f t="shared" si="768"/>
        <v>2846.0019275026857</v>
      </c>
      <c r="CD254" s="10">
        <f t="shared" si="769"/>
        <v>1468.9005237506083</v>
      </c>
      <c r="CF254" s="44">
        <f t="shared" si="263"/>
        <v>0.0645</v>
      </c>
      <c r="CG254" s="10">
        <f t="shared" si="268"/>
        <v>-183.57</v>
      </c>
      <c r="CH254" s="4">
        <f t="shared" si="273"/>
        <v>0</v>
      </c>
    </row>
    <row r="255" spans="1:86" ht="15.75">
      <c r="A255" s="36"/>
      <c r="B255" s="37">
        <v>44866</v>
      </c>
      <c r="C255" s="77">
        <f t="shared" si="726"/>
        <v>4.7704</v>
      </c>
      <c r="D255" s="79">
        <f>C255*(1+Podsumowanie!E$11)</f>
        <v>4.913512000000001</v>
      </c>
      <c r="E255" s="34">
        <f t="shared" si="727"/>
        <v>-561.9501052426958</v>
      </c>
      <c r="F255" s="7">
        <f t="shared" si="728"/>
        <v>-2761.148585511249</v>
      </c>
      <c r="G255" s="7">
        <f t="shared" si="729"/>
        <v>-1239.4292848218167</v>
      </c>
      <c r="H255" s="7">
        <f t="shared" si="730"/>
        <v>1521.7193006894324</v>
      </c>
      <c r="I255" s="32"/>
      <c r="K255" s="4">
        <f>IF(B255&lt;Podsumowanie!E$7,0,K254+1)</f>
        <v>185</v>
      </c>
      <c r="L255" s="100">
        <f t="shared" si="731"/>
        <v>-0.0077</v>
      </c>
      <c r="M255" s="38">
        <f>L255+Podsumowanie!E$6</f>
        <v>0.0043</v>
      </c>
      <c r="N255" s="101">
        <f>MAX(Podsumowanie!E$4+SUM(AA$5:AA254)-SUM(X$5:X255)+SUM(W$5:W255),0)</f>
        <v>96359.80051133208</v>
      </c>
      <c r="O255" s="102">
        <f>MAX(Podsumowanie!E$2+SUM(V$5:V254)-SUM(S$5:S255)+SUM(R$5:R255),0)</f>
        <v>212529.8269705869</v>
      </c>
      <c r="P255" s="39">
        <f t="shared" si="398"/>
        <v>360</v>
      </c>
      <c r="Q255" s="40" t="str">
        <f>IF(AND(K255&gt;0,K255&lt;=Podsumowanie!E$9),"tak","nie")</f>
        <v>nie</v>
      </c>
      <c r="R255" s="41"/>
      <c r="S255" s="42"/>
      <c r="T255" s="88">
        <f t="shared" si="732"/>
        <v>-76.15652133112697</v>
      </c>
      <c r="U255" s="89">
        <f>IF(Q255="tak",T255,IF(P255-SUM(AB$5:AB255)+1&gt;0,IF(Podsumowanie!E$7&lt;B255,IF(SUM(AB$5:AB255)-Podsumowanie!E$9+1&gt;0,PMT(M255/12,P255+1-SUM(AB$5:AB255),O255),T255),0),0))</f>
        <v>-1239.4292848218167</v>
      </c>
      <c r="V255" s="89">
        <f t="shared" si="733"/>
        <v>-1163.2727634906898</v>
      </c>
      <c r="W255" s="90" t="str">
        <f>IF(R255&gt;0,R255/(C255*(1-Podsumowanie!E$11))," ")</f>
        <v xml:space="preserve"> </v>
      </c>
      <c r="X255" s="90" t="str">
        <f t="shared" si="734"/>
        <v xml:space="preserve"> </v>
      </c>
      <c r="Y255" s="91">
        <f t="shared" si="735"/>
        <v>-34.52892851656066</v>
      </c>
      <c r="Z255" s="90">
        <f>IF(P255-SUM(AB$5:AB255)+1&gt;0,IF(Podsumowanie!E$7&lt;B255,IF(SUM(AB$5:AB255)-Podsumowanie!E$9+1&gt;0,PMT(M255/12,P255+1-SUM(AB$5:AB255),N255),Y255),0),0)</f>
        <v>-561.9501052426958</v>
      </c>
      <c r="AA255" s="90">
        <f t="shared" si="736"/>
        <v>-527.4211767261352</v>
      </c>
      <c r="AB255" s="8">
        <f>IF(AND(Podsumowanie!E$7&lt;B255,SUM(AB$5:AB254)&lt;P254),1," ")</f>
        <v>1</v>
      </c>
      <c r="AD255" s="10">
        <f>Podsumowanie!E$4-SUM(AF$5:AF254)+SUM(W$42:W255)-SUM(X$42:X255)</f>
        <v>88910.7981355525</v>
      </c>
      <c r="AE255" s="10">
        <f t="shared" si="737"/>
        <v>31.86</v>
      </c>
      <c r="AF255" s="10">
        <f t="shared" si="738"/>
        <v>505.17</v>
      </c>
      <c r="AG255" s="10">
        <f t="shared" si="739"/>
        <v>537.03</v>
      </c>
      <c r="AH255" s="10">
        <f t="shared" si="740"/>
        <v>2638.7</v>
      </c>
      <c r="AI255" s="10">
        <f>Podsumowanie!E$2-SUM(AK$5:AK254)+SUM(R$42:R255)-SUM(S$42:S255)</f>
        <v>196100.07999999973</v>
      </c>
      <c r="AJ255" s="10">
        <f t="shared" si="741"/>
        <v>70.27</v>
      </c>
      <c r="AK255" s="10">
        <f t="shared" si="742"/>
        <v>1114.21</v>
      </c>
      <c r="AL255" s="10">
        <f t="shared" si="743"/>
        <v>1184.48</v>
      </c>
      <c r="AM255" s="10">
        <f t="shared" si="744"/>
        <v>1454.2199999999998</v>
      </c>
      <c r="AO255" s="43">
        <f t="shared" si="745"/>
        <v>44866</v>
      </c>
      <c r="AP255" s="11">
        <f>AP$5+SUM(AS$5:AS254)-SUM(X$5:X255)+SUM(W$5:W255)</f>
        <v>93469.0064959921</v>
      </c>
      <c r="AQ255" s="10">
        <f t="shared" si="746"/>
        <v>-33.493060661063836</v>
      </c>
      <c r="AR255" s="10">
        <f>IF(AB255=1,IF(Q255="tak",AQ255,PMT(M255/12,P255+1-SUM(AB$5:AB255),AP255)),0)</f>
        <v>-545.0916020854148</v>
      </c>
      <c r="AS255" s="10">
        <f t="shared" si="747"/>
        <v>-511.59854142435097</v>
      </c>
      <c r="AT255" s="10">
        <f t="shared" si="748"/>
        <v>-2600.304978588263</v>
      </c>
      <c r="AV255" s="11">
        <f>AV$5+SUM(AX$5:AX254)+SUM(W$5:W254)-SUM(X$5:X254)</f>
        <v>86243.30719148561</v>
      </c>
      <c r="AW255" s="11">
        <f t="shared" si="749"/>
        <v>-33.493060661063836</v>
      </c>
      <c r="AX255" s="11">
        <f t="shared" si="750"/>
        <v>-490.02</v>
      </c>
      <c r="AY255" s="11">
        <f t="shared" si="751"/>
        <v>-523.5130606610638</v>
      </c>
      <c r="AZ255" s="11">
        <f t="shared" si="752"/>
        <v>-2497.366704577539</v>
      </c>
      <c r="BB255" s="191">
        <f t="shared" si="753"/>
        <v>0.0718</v>
      </c>
      <c r="BC255" s="44">
        <f>BB255+Podsumowanie!$E$6</f>
        <v>0.0838</v>
      </c>
      <c r="BD255" s="11">
        <f>BD$5+SUM(BE$5:BE254)+SUM(R$5:R254)-SUM(S$5:S254)</f>
        <v>254973.1821445402</v>
      </c>
      <c r="BE255" s="10">
        <f t="shared" si="754"/>
        <v>-733.5762577300957</v>
      </c>
      <c r="BF255" s="10">
        <f t="shared" si="755"/>
        <v>-1780.562721976039</v>
      </c>
      <c r="BG255" s="10">
        <f>IF(U255&lt;0,PMT(BC255/12,Podsumowanie!E$8-SUM(AB$5:AB255)+1,BD255),0)</f>
        <v>-2514.1389797061347</v>
      </c>
      <c r="BI255" s="11">
        <f>BI$5+SUM(BK$5:BK254)+SUM(R$5:R254)-SUM(S$5:S254)</f>
        <v>196100.2785515325</v>
      </c>
      <c r="BJ255" s="11">
        <f t="shared" si="756"/>
        <v>-1369.4336118848687</v>
      </c>
      <c r="BK255" s="11">
        <f t="shared" si="757"/>
        <v>-1114.2061281337074</v>
      </c>
      <c r="BL255" s="11">
        <f t="shared" si="758"/>
        <v>-2483.639740018576</v>
      </c>
      <c r="BN255" s="44">
        <f t="shared" si="759"/>
        <v>0.0839</v>
      </c>
      <c r="BO255" s="11">
        <f>BO$5+SUM(BP$5:BP254)+SUM(R$5:R254)-SUM(S$5:S254)+SUM(BS$5:BS254)</f>
        <v>236710.95763355886</v>
      </c>
      <c r="BP255" s="10">
        <f t="shared" si="760"/>
        <v>-680.4388704957853</v>
      </c>
      <c r="BQ255" s="10">
        <f t="shared" si="761"/>
        <v>-1655.0041121212992</v>
      </c>
      <c r="BR255" s="10">
        <f>IF(U255&lt;0,PMT(BN255/12,Podsumowanie!E$8-SUM(AB$5:AB255)+1,BO255),0)</f>
        <v>-2335.4429826170845</v>
      </c>
      <c r="BS255" s="10">
        <f t="shared" si="762"/>
        <v>-425.7056028941647</v>
      </c>
      <c r="BU255" s="11">
        <f>BU$5+SUM(BW$5:BW254)+SUM(R$5:R254)-SUM(S$5:S254)+SUM(BY$5,BY254)</f>
        <v>195861.82416417706</v>
      </c>
      <c r="BV255" s="10">
        <f t="shared" si="763"/>
        <v>-1369.4005872812047</v>
      </c>
      <c r="BW255" s="10">
        <f t="shared" si="764"/>
        <v>-1112.851273660097</v>
      </c>
      <c r="BX255" s="10">
        <f t="shared" si="765"/>
        <v>-2482.251860941302</v>
      </c>
      <c r="BY255" s="10">
        <f t="shared" si="766"/>
        <v>-278.8967245699473</v>
      </c>
      <c r="CA255" s="10">
        <f>CA$5+SUM(CB$5:CB254)+SUM(R$5:R254)-SUM(S$5:S254)-SUM(CC$5:CC254)</f>
        <v>202464.7426637538</v>
      </c>
      <c r="CB255" s="10">
        <f t="shared" si="767"/>
        <v>1369.4005872812047</v>
      </c>
      <c r="CC255" s="10">
        <f t="shared" si="768"/>
        <v>2761.148585511249</v>
      </c>
      <c r="CD255" s="10">
        <f t="shared" si="769"/>
        <v>1391.7479982300445</v>
      </c>
      <c r="CF255" s="44">
        <f t="shared" si="263"/>
        <v>0.0571</v>
      </c>
      <c r="CG255" s="10">
        <f t="shared" si="268"/>
        <v>-157.66</v>
      </c>
      <c r="CH255" s="4">
        <f t="shared" si="273"/>
        <v>0</v>
      </c>
    </row>
    <row r="256" spans="1:86" ht="15.75">
      <c r="A256" s="36"/>
      <c r="B256" s="37">
        <v>44896</v>
      </c>
      <c r="C256" s="77">
        <f aca="true" t="shared" si="770" ref="C256">VLOOKUP(B256,Kursy,C$2)</f>
        <v>4.7441</v>
      </c>
      <c r="D256" s="79">
        <f>C256*(1+Podsumowanie!E$11)</f>
        <v>4.886423000000001</v>
      </c>
      <c r="E256" s="34">
        <f aca="true" t="shared" si="771" ref="E256">Z256</f>
        <v>-606.0608824072741</v>
      </c>
      <c r="F256" s="7">
        <f aca="true" t="shared" si="772" ref="F256">E256*D256</f>
        <v>-2961.4698351951997</v>
      </c>
      <c r="G256" s="7">
        <f aca="true" t="shared" si="773" ref="G256">U256</f>
        <v>-1336.7193973851302</v>
      </c>
      <c r="H256" s="7">
        <f aca="true" t="shared" si="774" ref="H256">G256-F256</f>
        <v>1624.7504378100696</v>
      </c>
      <c r="I256" s="32"/>
      <c r="K256" s="4">
        <f>IF(B256&lt;Podsumowanie!E$7,0,K255+1)</f>
        <v>186</v>
      </c>
      <c r="L256" s="100">
        <f aca="true" t="shared" si="775" ref="L256">VLOOKUP(B256,Oproc,C$2)</f>
        <v>0.002798</v>
      </c>
      <c r="M256" s="38">
        <f>L256+Podsumowanie!E$6</f>
        <v>0.014798</v>
      </c>
      <c r="N256" s="101">
        <f>MAX(Podsumowanie!E$4+SUM(AA$5:AA255)-SUM(X$5:X256)+SUM(W$5:W256),0)</f>
        <v>95832.37933460595</v>
      </c>
      <c r="O256" s="102">
        <f>MAX(Podsumowanie!E$2+SUM(V$5:V255)-SUM(S$5:S256)+SUM(R$5:R256),0)</f>
        <v>211366.55420709623</v>
      </c>
      <c r="P256" s="39">
        <f t="shared" si="398"/>
        <v>360</v>
      </c>
      <c r="Q256" s="40" t="str">
        <f>IF(AND(K256&gt;0,K256&lt;=Podsumowanie!E$9),"tak","nie")</f>
        <v>nie</v>
      </c>
      <c r="R256" s="41"/>
      <c r="S256" s="42"/>
      <c r="T256" s="88">
        <f aca="true" t="shared" si="776" ref="T256">IF(AB256=1,-O256*M256/12,0)</f>
        <v>-260.65018909638417</v>
      </c>
      <c r="U256" s="89">
        <f>IF(Q256="tak",T256,IF(P256-SUM(AB$5:AB256)+1&gt;0,IF(Podsumowanie!E$7&lt;B256,IF(SUM(AB$5:AB256)-Podsumowanie!E$9+1&gt;0,PMT(M256/12,P256+1-SUM(AB$5:AB256),O256),T256),0),0))</f>
        <v>-1336.7193973851302</v>
      </c>
      <c r="V256" s="89">
        <f aca="true" t="shared" si="777" ref="V256">U256-T256</f>
        <v>-1076.069208288746</v>
      </c>
      <c r="W256" s="90" t="str">
        <f>IF(R256&gt;0,R256/(C256*(1-Podsumowanie!E$11))," ")</f>
        <v xml:space="preserve"> </v>
      </c>
      <c r="X256" s="90" t="str">
        <f aca="true" t="shared" si="778" ref="X256">IF(S256&gt;0,S256/D256," ")</f>
        <v xml:space="preserve"> </v>
      </c>
      <c r="Y256" s="91">
        <f aca="true" t="shared" si="779" ref="Y256">IF(AB256=1,-N256*M256/12,0)</f>
        <v>-118.17729578279157</v>
      </c>
      <c r="Z256" s="90">
        <f>IF(P256-SUM(AB$5:AB256)+1&gt;0,IF(Podsumowanie!E$7&lt;B256,IF(SUM(AB$5:AB256)-Podsumowanie!E$9+1&gt;0,PMT(M256/12,P256+1-SUM(AB$5:AB256),N256),Y256),0),0)</f>
        <v>-606.0608824072741</v>
      </c>
      <c r="AA256" s="90">
        <f aca="true" t="shared" si="780" ref="AA256">Z256-Y256</f>
        <v>-487.8835866244825</v>
      </c>
      <c r="AB256" s="8">
        <f>IF(AND(Podsumowanie!E$7&lt;B256,SUM(AB$5:AB255)&lt;P255),1," ")</f>
        <v>1</v>
      </c>
      <c r="AD256" s="10">
        <f>Podsumowanie!E$4-SUM(AF$5:AF255)+SUM(W$42:W256)-SUM(X$42:X256)</f>
        <v>88405.6281355525</v>
      </c>
      <c r="AE256" s="10">
        <f aca="true" t="shared" si="781" ref="AE256">IF(AB256=1,ROUND(AD256*M256/12,2),0)</f>
        <v>109.02</v>
      </c>
      <c r="AF256" s="10">
        <f aca="true" t="shared" si="782" ref="AF256">IF(Q256="tak",0,IF(AB256=1,ROUND(AD256/(P256-K256+1),2),0))</f>
        <v>505.18</v>
      </c>
      <c r="AG256" s="10">
        <f aca="true" t="shared" si="783" ref="AG256">AF256+AE256</f>
        <v>614.2</v>
      </c>
      <c r="AH256" s="10">
        <f aca="true" t="shared" si="784" ref="AH256">ROUND(AG256*D256,2)</f>
        <v>3001.24</v>
      </c>
      <c r="AI256" s="10">
        <f>Podsumowanie!E$2-SUM(AK$5:AK255)+SUM(R$42:R256)-SUM(S$42:S256)</f>
        <v>194985.86999999973</v>
      </c>
      <c r="AJ256" s="10">
        <f aca="true" t="shared" si="785" ref="AJ256">IF(AB256=1,ROUND(AI256*M256/12,2),0)</f>
        <v>240.45</v>
      </c>
      <c r="AK256" s="10">
        <f aca="true" t="shared" si="786" ref="AK256">IF(Q256="tak",0,IF(AB256=1,ROUND(AI256/(P256-K256+1),2),0))</f>
        <v>1114.2</v>
      </c>
      <c r="AL256" s="10">
        <f aca="true" t="shared" si="787" ref="AL256">AK256+AJ256</f>
        <v>1354.65</v>
      </c>
      <c r="AM256" s="10">
        <f aca="true" t="shared" si="788" ref="AM256">AH256-AL256</f>
        <v>1646.5899999999997</v>
      </c>
      <c r="AO256" s="43">
        <f aca="true" t="shared" si="789" ref="AO256">B256</f>
        <v>44896</v>
      </c>
      <c r="AP256" s="11">
        <f>AP$5+SUM(AS$5:AS255)-SUM(X$5:X256)+SUM(W$5:W256)</f>
        <v>92957.40795456775</v>
      </c>
      <c r="AQ256" s="10">
        <f aca="true" t="shared" si="790" ref="AQ256">IF(AB256=1,-AP256*M256/12,0)</f>
        <v>-114.63197690930781</v>
      </c>
      <c r="AR256" s="10">
        <f>IF(AB256=1,IF(Q256="tak",AQ256,PMT(M256/12,P256+1-SUM(AB$5:AB256),AP256)),0)</f>
        <v>-587.8790559350557</v>
      </c>
      <c r="AS256" s="10">
        <f aca="true" t="shared" si="791" ref="AS256">AR256-AQ256</f>
        <v>-473.2470790257479</v>
      </c>
      <c r="AT256" s="10">
        <f aca="true" t="shared" si="792" ref="AT256">AR256*C256</f>
        <v>-2788.957029261498</v>
      </c>
      <c r="AV256" s="11">
        <f>AV$5+SUM(AX$5:AX255)+SUM(W$5:W255)-SUM(X$5:X255)</f>
        <v>85753.28719148561</v>
      </c>
      <c r="AW256" s="11">
        <f aca="true" t="shared" si="793" ref="AW256">IF(AB256=1,-AP256*M256/12,0)</f>
        <v>-114.63197690930781</v>
      </c>
      <c r="AX256" s="11">
        <f aca="true" t="shared" si="794" ref="AX256">IF(AB256=1,IF(Q256="tak",0,ROUND(-AV256/(P256-K256+1),2)),0)</f>
        <v>-490.02</v>
      </c>
      <c r="AY256" s="11">
        <f aca="true" t="shared" si="795" ref="AY256">AX256+AW256</f>
        <v>-604.6519769093078</v>
      </c>
      <c r="AZ256" s="11">
        <f aca="true" t="shared" si="796" ref="AZ256">AY256*C256</f>
        <v>-2868.5294436554473</v>
      </c>
      <c r="BB256" s="191">
        <f aca="true" t="shared" si="797" ref="BB256">VLOOKUP(B256,Oproc,5)</f>
        <v>0.0731</v>
      </c>
      <c r="BC256" s="44">
        <f>BB256+Podsumowanie!$E$6</f>
        <v>0.0851</v>
      </c>
      <c r="BD256" s="11">
        <f>BD$5+SUM(BE$5:BE255)+SUM(R$5:R255)-SUM(S$5:S255)</f>
        <v>254239.60588681008</v>
      </c>
      <c r="BE256" s="10">
        <f aca="true" t="shared" si="798" ref="BE256">IF(BG256&lt;0,BG256-BF256,0)</f>
        <v>-730.3895911582918</v>
      </c>
      <c r="BF256" s="10">
        <f aca="true" t="shared" si="799" ref="BF256">IF(BG256&lt;0,-BD256*BC256/12,0)</f>
        <v>-1802.9825384139613</v>
      </c>
      <c r="BG256" s="10">
        <f>IF(U256&lt;0,PMT(BC256/12,Podsumowanie!E$8-SUM(AB$5:AB256)+1,BD256),0)</f>
        <v>-2533.372129572253</v>
      </c>
      <c r="BI256" s="11">
        <f>BI$5+SUM(BK$5:BK255)+SUM(R$5:R255)-SUM(S$5:S255)</f>
        <v>194986.07242339881</v>
      </c>
      <c r="BJ256" s="11">
        <f aca="true" t="shared" si="800" ref="BJ256">IF(AB256=1,-BC256*BI256/12,0)</f>
        <v>-1382.77623026927</v>
      </c>
      <c r="BK256" s="11">
        <f aca="true" t="shared" si="801" ref="BK256">IF(AB256=1,-BI256/(P256-K256+1),0)</f>
        <v>-1114.2061281337076</v>
      </c>
      <c r="BL256" s="11">
        <f aca="true" t="shared" si="802" ref="BL256">BK256+BJ256</f>
        <v>-2496.9823584029773</v>
      </c>
      <c r="BN256" s="44">
        <f aca="true" t="shared" si="803" ref="BN256">BB256+$BN$4</f>
        <v>0.0852</v>
      </c>
      <c r="BO256" s="11">
        <f>BO$5+SUM(BP$5:BP255)+SUM(R$5:R255)-SUM(S$5:S255)+SUM(BS$5:BS255)</f>
        <v>235604.8131601689</v>
      </c>
      <c r="BP256" s="10">
        <f aca="true" t="shared" si="804" ref="BP256">IF(BR256&lt;0,BR256-BQ256,0)</f>
        <v>-676.2653399037197</v>
      </c>
      <c r="BQ256" s="10">
        <f aca="true" t="shared" si="805" ref="BQ256">IF(BR256&lt;0,-BO256*BN256/12,0)</f>
        <v>-1672.794173437199</v>
      </c>
      <c r="BR256" s="10">
        <f>IF(U256&lt;0,PMT(BN256/12,Podsumowanie!E$8-SUM(AB$5:AB256)+1,BO256),0)</f>
        <v>-2349.059513340919</v>
      </c>
      <c r="BS256" s="10">
        <f aca="true" t="shared" si="806" ref="BS256">F256-BR256</f>
        <v>-612.4103218542809</v>
      </c>
      <c r="BU256" s="11">
        <f>BU$5+SUM(BW$5:BW255)+SUM(R$5:R255)-SUM(S$5:S255)+SUM(BY$5,BY255)</f>
        <v>194826.18995508453</v>
      </c>
      <c r="BV256" s="10">
        <f aca="true" t="shared" si="807" ref="BV256">IF(AB256=1,-BN256*BU256/12,0)</f>
        <v>-1383.2659486811</v>
      </c>
      <c r="BW256" s="10">
        <f aca="true" t="shared" si="808" ref="BW256">IF(AB256=1,-BU256/(P256-K256+1),0)</f>
        <v>-1113.2925140290545</v>
      </c>
      <c r="BX256" s="10">
        <f aca="true" t="shared" si="809" ref="BX256">BW256+BV256</f>
        <v>-2496.5584627101543</v>
      </c>
      <c r="BY256" s="10">
        <f aca="true" t="shared" si="810" ref="BY256">$F256-BX256</f>
        <v>-464.9113724850454</v>
      </c>
      <c r="CA256" s="10">
        <f>CA$5+SUM(CB$5:CB255)+SUM(R$5:R255)-SUM(S$5:S255)-SUM(CC$5:CC255)</f>
        <v>201072.99466552376</v>
      </c>
      <c r="CB256" s="10">
        <f aca="true" t="shared" si="811" ref="CB256">IF(AB256=1,BN256*BU256/12,0)</f>
        <v>1383.2659486811</v>
      </c>
      <c r="CC256" s="10">
        <f aca="true" t="shared" si="812" ref="CC256">-F256</f>
        <v>2961.4698351951997</v>
      </c>
      <c r="CD256" s="10">
        <f aca="true" t="shared" si="813" ref="CD256">CC256-CB256</f>
        <v>1578.2038865140996</v>
      </c>
      <c r="CF256" s="44">
        <f t="shared" si="263"/>
        <v>0.0561</v>
      </c>
      <c r="CG256" s="10">
        <f t="shared" si="268"/>
        <v>-166.14</v>
      </c>
      <c r="CH256" s="4">
        <f t="shared" si="273"/>
        <v>0</v>
      </c>
    </row>
    <row r="257" spans="1:86" ht="15.75">
      <c r="A257" s="36">
        <v>2023</v>
      </c>
      <c r="B257" s="37">
        <v>44927</v>
      </c>
      <c r="C257" s="77">
        <f aca="true" t="shared" si="814" ref="C257">VLOOKUP(B257,Kursy,C$2)</f>
        <v>4.717</v>
      </c>
      <c r="D257" s="79">
        <f>C257*(1+Podsumowanie!E$11)</f>
        <v>4.85851</v>
      </c>
      <c r="E257" s="34">
        <f aca="true" t="shared" si="815" ref="E257">Z257</f>
        <v>-624.3299053061056</v>
      </c>
      <c r="F257" s="7">
        <f aca="true" t="shared" si="816" ref="F257">E257*D257</f>
        <v>-3033.313088228767</v>
      </c>
      <c r="G257" s="7">
        <f aca="true" t="shared" si="817" ref="G257">U257</f>
        <v>-1377.0132985244725</v>
      </c>
      <c r="H257" s="7">
        <f aca="true" t="shared" si="818" ref="H257">G257-F257</f>
        <v>1656.2997897042944</v>
      </c>
      <c r="I257" s="32"/>
      <c r="K257" s="4">
        <f>IF(B257&lt;Podsumowanie!E$7,0,K256+1)</f>
        <v>187</v>
      </c>
      <c r="L257" s="100">
        <f aca="true" t="shared" si="819" ref="L257">VLOOKUP(B257,Oproc,C$2)</f>
        <v>0.007026</v>
      </c>
      <c r="M257" s="38">
        <f>L257+Podsumowanie!E$6</f>
        <v>0.019026</v>
      </c>
      <c r="N257" s="101">
        <f>MAX(Podsumowanie!E$4+SUM(AA$5:AA256)-SUM(X$5:X257)+SUM(W$5:W257),0)</f>
        <v>95344.49574798148</v>
      </c>
      <c r="O257" s="102">
        <f>MAX(Podsumowanie!E$2+SUM(V$5:V256)-SUM(S$5:S257)+SUM(R$5:R257),0)</f>
        <v>210290.4849988075</v>
      </c>
      <c r="P257" s="39">
        <f t="shared" si="398"/>
        <v>360</v>
      </c>
      <c r="Q257" s="40" t="str">
        <f>IF(AND(K257&gt;0,K257&lt;=Podsumowanie!E$9),"tak","nie")</f>
        <v>nie</v>
      </c>
      <c r="R257" s="41"/>
      <c r="S257" s="42"/>
      <c r="T257" s="88">
        <f aca="true" t="shared" si="820" ref="T257">IF(AB257=1,-O257*M257/12,0)</f>
        <v>-333.4155639656093</v>
      </c>
      <c r="U257" s="89">
        <f>IF(Q257="tak",T257,IF(P257-SUM(AB$5:AB257)+1&gt;0,IF(Podsumowanie!E$7&lt;B257,IF(SUM(AB$5:AB257)-Podsumowanie!E$9+1&gt;0,PMT(M257/12,P257+1-SUM(AB$5:AB257),O257),T257),0),0))</f>
        <v>-1377.0132985244725</v>
      </c>
      <c r="V257" s="89">
        <f aca="true" t="shared" si="821" ref="V257">U257-T257</f>
        <v>-1043.597734558863</v>
      </c>
      <c r="W257" s="90" t="str">
        <f>IF(R257&gt;0,R257/(C257*(1-Podsumowanie!E$11))," ")</f>
        <v xml:space="preserve"> </v>
      </c>
      <c r="X257" s="90" t="str">
        <f aca="true" t="shared" si="822" ref="X257">IF(S257&gt;0,S257/D257," ")</f>
        <v xml:space="preserve"> </v>
      </c>
      <c r="Y257" s="91">
        <f aca="true" t="shared" si="823" ref="Y257">IF(AB257=1,-N257*M257/12,0)</f>
        <v>-151.16869800842463</v>
      </c>
      <c r="Z257" s="90">
        <f>IF(P257-SUM(AB$5:AB257)+1&gt;0,IF(Podsumowanie!E$7&lt;B257,IF(SUM(AB$5:AB257)-Podsumowanie!E$9+1&gt;0,PMT(M257/12,P257+1-SUM(AB$5:AB257),N257),Y257),0),0)</f>
        <v>-624.3299053061056</v>
      </c>
      <c r="AA257" s="90">
        <f aca="true" t="shared" si="824" ref="AA257">Z257-Y257</f>
        <v>-473.161207297681</v>
      </c>
      <c r="AB257" s="8">
        <f>IF(AND(Podsumowanie!E$7&lt;B257,SUM(AB$5:AB256)&lt;P256),1," ")</f>
        <v>1</v>
      </c>
      <c r="AD257" s="10">
        <f>Podsumowanie!E$4-SUM(AF$5:AF256)+SUM(W$42:W257)-SUM(X$42:X257)</f>
        <v>87900.4481355525</v>
      </c>
      <c r="AE257" s="10">
        <f aca="true" t="shared" si="825" ref="AE257">IF(AB257=1,ROUND(AD257*M257/12,2),0)</f>
        <v>139.37</v>
      </c>
      <c r="AF257" s="10">
        <f aca="true" t="shared" si="826" ref="AF257">IF(Q257="tak",0,IF(AB257=1,ROUND(AD257/(P257-K257+1),2),0))</f>
        <v>505.17</v>
      </c>
      <c r="AG257" s="10">
        <f aca="true" t="shared" si="827" ref="AG257">AF257+AE257</f>
        <v>644.54</v>
      </c>
      <c r="AH257" s="10">
        <f aca="true" t="shared" si="828" ref="AH257">ROUND(AG257*D257,2)</f>
        <v>3131.5</v>
      </c>
      <c r="AI257" s="10">
        <f>Podsumowanie!E$2-SUM(AK$5:AK256)+SUM(R$42:R257)-SUM(S$42:S257)</f>
        <v>193871.66999999972</v>
      </c>
      <c r="AJ257" s="10">
        <f aca="true" t="shared" si="829" ref="AJ257">IF(AB257=1,ROUND(AI257*M257/12,2),0)</f>
        <v>307.38</v>
      </c>
      <c r="AK257" s="10">
        <f aca="true" t="shared" si="830" ref="AK257">IF(Q257="tak",0,IF(AB257=1,ROUND(AI257/(P257-K257+1),2),0))</f>
        <v>1114.21</v>
      </c>
      <c r="AL257" s="10">
        <f aca="true" t="shared" si="831" ref="AL257">AK257+AJ257</f>
        <v>1421.5900000000001</v>
      </c>
      <c r="AM257" s="10">
        <f aca="true" t="shared" si="832" ref="AM257">AH257-AL257</f>
        <v>1709.9099999999999</v>
      </c>
      <c r="AO257" s="43">
        <f aca="true" t="shared" si="833" ref="AO257">B257</f>
        <v>44927</v>
      </c>
      <c r="AP257" s="11">
        <f>AP$5+SUM(AS$5:AS256)-SUM(X$5:X257)+SUM(W$5:W257)</f>
        <v>92484.160875542</v>
      </c>
      <c r="AQ257" s="10">
        <f aca="true" t="shared" si="834" ref="AQ257">IF(AB257=1,-AP257*M257/12,0)</f>
        <v>-146.63363706817185</v>
      </c>
      <c r="AR257" s="10">
        <f>IF(AB257=1,IF(Q257="tak",AQ257,PMT(M257/12,P257+1-SUM(AB$5:AB257),AP257)),0)</f>
        <v>-605.6000081469223</v>
      </c>
      <c r="AS257" s="10">
        <f aca="true" t="shared" si="835" ref="AS257">AR257-AQ257</f>
        <v>-458.9663710787504</v>
      </c>
      <c r="AT257" s="10">
        <f aca="true" t="shared" si="836" ref="AT257">AR257*C257</f>
        <v>-2856.615238429032</v>
      </c>
      <c r="AV257" s="11">
        <f>AV$5+SUM(AX$5:AX256)+SUM(W$5:W256)-SUM(X$5:X256)</f>
        <v>85263.2671914856</v>
      </c>
      <c r="AW257" s="11">
        <f aca="true" t="shared" si="837" ref="AW257">IF(AB257=1,-AP257*M257/12,0)</f>
        <v>-146.63363706817185</v>
      </c>
      <c r="AX257" s="11">
        <f aca="true" t="shared" si="838" ref="AX257">IF(AB257=1,IF(Q257="tak",0,ROUND(-AV257/(P257-K257+1),2)),0)</f>
        <v>-490.02</v>
      </c>
      <c r="AY257" s="11">
        <f aca="true" t="shared" si="839" ref="AY257">AX257+AW257</f>
        <v>-636.6536370681719</v>
      </c>
      <c r="AZ257" s="11">
        <f aca="true" t="shared" si="840" ref="AZ257">AY257*C257</f>
        <v>-3003.0952060505665</v>
      </c>
      <c r="BB257" s="191">
        <f aca="true" t="shared" si="841" ref="BB257">VLOOKUP(B257,Oproc,5)</f>
        <v>0.0695</v>
      </c>
      <c r="BC257" s="44">
        <f>BB257+Podsumowanie!$E$6</f>
        <v>0.0815</v>
      </c>
      <c r="BD257" s="11">
        <f>BD$5+SUM(BE$5:BE256)+SUM(R$5:R256)-SUM(S$5:S256)</f>
        <v>253509.2162956518</v>
      </c>
      <c r="BE257" s="10">
        <f aca="true" t="shared" si="842" ref="BE257">IF(BG257&lt;0,BG257-BF257,0)</f>
        <v>-758.7711720170144</v>
      </c>
      <c r="BF257" s="10">
        <f aca="true" t="shared" si="843" ref="BF257">IF(BG257&lt;0,-BD257*BC257/12,0)</f>
        <v>-1721.7500940079688</v>
      </c>
      <c r="BG257" s="10">
        <f>IF(U257&lt;0,PMT(BC257/12,Podsumowanie!E$8-SUM(AB$5:AB257)+1,BD257),0)</f>
        <v>-2480.521266024983</v>
      </c>
      <c r="BI257" s="11">
        <f>BI$5+SUM(BK$5:BK256)+SUM(R$5:R256)-SUM(S$5:S256)</f>
        <v>193871.86629526512</v>
      </c>
      <c r="BJ257" s="11">
        <f aca="true" t="shared" si="844" ref="BJ257">IF(AB257=1,-BC257*BI257/12,0)</f>
        <v>-1316.713091922009</v>
      </c>
      <c r="BK257" s="11">
        <f aca="true" t="shared" si="845" ref="BK257">IF(AB257=1,-BI257/(P257-K257+1),0)</f>
        <v>-1114.2061281337076</v>
      </c>
      <c r="BL257" s="11">
        <f aca="true" t="shared" si="846" ref="BL257">BK257+BJ257</f>
        <v>-2430.9192200557163</v>
      </c>
      <c r="BN257" s="44">
        <f aca="true" t="shared" si="847" ref="BN257">BB257+$BN$4</f>
        <v>0.0816</v>
      </c>
      <c r="BO257" s="11">
        <f>BO$5+SUM(BP$5:BP256)+SUM(R$5:R256)-SUM(S$5:S256)+SUM(BS$5:BS256)</f>
        <v>234316.1374984109</v>
      </c>
      <c r="BP257" s="10">
        <f aca="true" t="shared" si="848" ref="BP257">IF(BR257&lt;0,BR257-BQ257,0)</f>
        <v>-700.7220877879879</v>
      </c>
      <c r="BQ257" s="10">
        <f aca="true" t="shared" si="849" ref="BQ257">IF(BR257&lt;0,-BO257*BN257/12,0)</f>
        <v>-1593.3497349891943</v>
      </c>
      <c r="BR257" s="10">
        <f>IF(U257&lt;0,PMT(BN257/12,Podsumowanie!E$8-SUM(AB$5:AB257)+1,BO257),0)</f>
        <v>-2294.071822777182</v>
      </c>
      <c r="BS257" s="10">
        <f aca="true" t="shared" si="850" ref="BS257">F257-BR257</f>
        <v>-739.2412654515847</v>
      </c>
      <c r="BU257" s="11">
        <f>BU$5+SUM(BW$5:BW256)+SUM(R$5:R256)-SUM(S$5:S256)+SUM(BY$5,BY256)</f>
        <v>193526.8827931404</v>
      </c>
      <c r="BV257" s="10">
        <f aca="true" t="shared" si="851" ref="BV257">IF(AB257=1,-BN257*BU257/12,0)</f>
        <v>-1315.9828029933549</v>
      </c>
      <c r="BW257" s="10">
        <f aca="true" t="shared" si="852" ref="BW257">IF(AB257=1,-BU257/(P257-K257+1),0)</f>
        <v>-1112.223464328393</v>
      </c>
      <c r="BX257" s="10">
        <f aca="true" t="shared" si="853" ref="BX257">BW257+BV257</f>
        <v>-2428.206267321748</v>
      </c>
      <c r="BY257" s="10">
        <f aca="true" t="shared" si="854" ref="BY257">$F257-BX257</f>
        <v>-605.106820907019</v>
      </c>
      <c r="CA257" s="10">
        <f>CA$5+SUM(CB$5:CB256)+SUM(R$5:R256)-SUM(S$5:S256)-SUM(CC$5:CC256)</f>
        <v>199494.79077900958</v>
      </c>
      <c r="CB257" s="10">
        <f aca="true" t="shared" si="855" ref="CB257">IF(AB257=1,BN257*BU257/12,0)</f>
        <v>1315.9828029933549</v>
      </c>
      <c r="CC257" s="10">
        <f aca="true" t="shared" si="856" ref="CC257">-F257</f>
        <v>3033.313088228767</v>
      </c>
      <c r="CD257" s="10">
        <f aca="true" t="shared" si="857" ref="CD257">CC257-CB257</f>
        <v>1717.330285235412</v>
      </c>
      <c r="CF257" s="44">
        <f t="shared" si="263"/>
        <v>0.0303</v>
      </c>
      <c r="CG257" s="10">
        <f t="shared" si="268"/>
        <v>-91.91</v>
      </c>
      <c r="CH257" s="4">
        <f t="shared" si="273"/>
        <v>0</v>
      </c>
    </row>
    <row r="258" spans="2:86" ht="15.75">
      <c r="B258" s="37">
        <v>44958</v>
      </c>
      <c r="C258" s="77">
        <f aca="true" t="shared" si="858" ref="C258">VLOOKUP(B258,Kursy,C$2)</f>
        <v>4.7867</v>
      </c>
      <c r="D258" s="79">
        <f>C258*(1+Podsumowanie!E$11)</f>
        <v>4.930301</v>
      </c>
      <c r="E258" s="34">
        <f aca="true" t="shared" si="859" ref="E258">Z258</f>
        <v>-631.2335001987955</v>
      </c>
      <c r="F258" s="7">
        <f aca="true" t="shared" si="860" ref="F258">E258*D258</f>
        <v>-3112.1711572636214</v>
      </c>
      <c r="G258" s="7">
        <f aca="true" t="shared" si="861" ref="G258">U258</f>
        <v>-1392.2397707694608</v>
      </c>
      <c r="H258" s="7">
        <f aca="true" t="shared" si="862" ref="H258">G258-F258</f>
        <v>1719.9313864941605</v>
      </c>
      <c r="I258" s="32"/>
      <c r="K258" s="4">
        <f>IF(B258&lt;Podsumowanie!E$7,0,K257+1)</f>
        <v>188</v>
      </c>
      <c r="L258" s="100">
        <f aca="true" t="shared" si="863" ref="L258">VLOOKUP(B258,Oproc,C$2)</f>
        <v>0.008612</v>
      </c>
      <c r="M258" s="38">
        <f>L258+Podsumowanie!E$6</f>
        <v>0.020612</v>
      </c>
      <c r="N258" s="101">
        <f>MAX(Podsumowanie!E$4+SUM(AA$5:AA257)-SUM(X$5:X258)+SUM(W$5:W258),0)</f>
        <v>94871.33454068379</v>
      </c>
      <c r="O258" s="102">
        <f>MAX(Podsumowanie!E$2+SUM(V$5:V257)-SUM(S$5:S258)+SUM(R$5:R258),0)</f>
        <v>209246.88726424862</v>
      </c>
      <c r="P258" s="39">
        <f t="shared" si="398"/>
        <v>360</v>
      </c>
      <c r="Q258" s="40" t="str">
        <f>IF(AND(K258&gt;0,K258&lt;=Podsumowanie!E$9),"tak","nie")</f>
        <v>nie</v>
      </c>
      <c r="R258" s="41"/>
      <c r="S258" s="42"/>
      <c r="T258" s="88">
        <f aca="true" t="shared" si="864" ref="T258">IF(AB258=1,-O258*M258/12,0)</f>
        <v>-359.4164033575577</v>
      </c>
      <c r="U258" s="89">
        <f>IF(Q258="tak",T258,IF(P258-SUM(AB$5:AB258)+1&gt;0,IF(Podsumowanie!E$7&lt;B258,IF(SUM(AB$5:AB258)-Podsumowanie!E$9+1&gt;0,PMT(M258/12,P258+1-SUM(AB$5:AB258),O258),T258),0),0))</f>
        <v>-1392.2397707694608</v>
      </c>
      <c r="V258" s="89">
        <f aca="true" t="shared" si="865" ref="V258">U258-T258</f>
        <v>-1032.823367411903</v>
      </c>
      <c r="W258" s="90" t="str">
        <f>IF(R258&gt;0,R258/(C258*(1-Podsumowanie!E$11))," ")</f>
        <v xml:space="preserve"> </v>
      </c>
      <c r="X258" s="90" t="str">
        <f aca="true" t="shared" si="866" ref="X258">IF(S258&gt;0,S258/D258," ")</f>
        <v xml:space="preserve"> </v>
      </c>
      <c r="Y258" s="91">
        <f aca="true" t="shared" si="867" ref="Y258">IF(AB258=1,-N258*M258/12,0)</f>
        <v>-162.9573289627145</v>
      </c>
      <c r="Z258" s="90">
        <f>IF(P258-SUM(AB$5:AB258)+1&gt;0,IF(Podsumowanie!E$7&lt;B258,IF(SUM(AB$5:AB258)-Podsumowanie!E$9+1&gt;0,PMT(M258/12,P258+1-SUM(AB$5:AB258),N258),Y258),0),0)</f>
        <v>-631.2335001987955</v>
      </c>
      <c r="AA258" s="90">
        <f aca="true" t="shared" si="868" ref="AA258">Z258-Y258</f>
        <v>-468.2761712360809</v>
      </c>
      <c r="AB258" s="8">
        <f>IF(AND(Podsumowanie!E$7&lt;B258,SUM(AB$5:AB257)&lt;P257),1," ")</f>
        <v>1</v>
      </c>
      <c r="AD258" s="10">
        <f>Podsumowanie!E$4-SUM(AF$5:AF257)+SUM(W$42:W258)-SUM(X$42:X258)</f>
        <v>87395.27813555251</v>
      </c>
      <c r="AE258" s="10">
        <f aca="true" t="shared" si="869" ref="AE258">IF(AB258=1,ROUND(AD258*M258/12,2),0)</f>
        <v>150.12</v>
      </c>
      <c r="AF258" s="10">
        <f aca="true" t="shared" si="870" ref="AF258">IF(Q258="tak",0,IF(AB258=1,ROUND(AD258/(P258-K258+1),2),0))</f>
        <v>505.18</v>
      </c>
      <c r="AG258" s="10">
        <f aca="true" t="shared" si="871" ref="AG258">AF258+AE258</f>
        <v>655.3</v>
      </c>
      <c r="AH258" s="10">
        <f aca="true" t="shared" si="872" ref="AH258">ROUND(AG258*D258,2)</f>
        <v>3230.83</v>
      </c>
      <c r="AI258" s="10">
        <f>Podsumowanie!E$2-SUM(AK$5:AK257)+SUM(R$42:R258)-SUM(S$42:S258)</f>
        <v>192757.45999999973</v>
      </c>
      <c r="AJ258" s="10">
        <f aca="true" t="shared" si="873" ref="AJ258">IF(AB258=1,ROUND(AI258*M258/12,2),0)</f>
        <v>331.09</v>
      </c>
      <c r="AK258" s="10">
        <f aca="true" t="shared" si="874" ref="AK258">IF(Q258="tak",0,IF(AB258=1,ROUND(AI258/(P258-K258+1),2),0))</f>
        <v>1114.2</v>
      </c>
      <c r="AL258" s="10">
        <f aca="true" t="shared" si="875" ref="AL258">AK258+AJ258</f>
        <v>1445.29</v>
      </c>
      <c r="AM258" s="10">
        <f aca="true" t="shared" si="876" ref="AM258">AH258-AL258</f>
        <v>1785.54</v>
      </c>
      <c r="AO258" s="43">
        <f aca="true" t="shared" si="877" ref="AO258">B258</f>
        <v>44958</v>
      </c>
      <c r="AP258" s="11">
        <f>AP$5+SUM(AS$5:AS257)-SUM(X$5:X258)+SUM(W$5:W258)</f>
        <v>92025.19450446324</v>
      </c>
      <c r="AQ258" s="10">
        <f aca="true" t="shared" si="878" ref="AQ258">IF(AB258=1,-AP258*M258/12,0)</f>
        <v>-158.06860909383303</v>
      </c>
      <c r="AR258" s="10">
        <f>IF(AB258=1,IF(Q258="tak",AQ258,PMT(M258/12,P258+1-SUM(AB$5:AB258),AP258)),0)</f>
        <v>-612.2964951928315</v>
      </c>
      <c r="AS258" s="10">
        <f aca="true" t="shared" si="879" ref="AS258">AR258-AQ258</f>
        <v>-454.2278860989984</v>
      </c>
      <c r="AT258" s="10">
        <f aca="true" t="shared" si="880" ref="AT258">AR258*C258</f>
        <v>-2930.8796335395264</v>
      </c>
      <c r="AV258" s="11">
        <f>AV$5+SUM(AX$5:AX257)+SUM(W$5:W257)-SUM(X$5:X257)</f>
        <v>84773.2471914856</v>
      </c>
      <c r="AW258" s="11">
        <f aca="true" t="shared" si="881" ref="AW258">IF(AB258=1,-AP258*M258/12,0)</f>
        <v>-158.06860909383303</v>
      </c>
      <c r="AX258" s="11">
        <f aca="true" t="shared" si="882" ref="AX258">IF(AB258=1,IF(Q258="tak",0,ROUND(-AV258/(P258-K258+1),2)),0)</f>
        <v>-490.02</v>
      </c>
      <c r="AY258" s="11">
        <f aca="true" t="shared" si="883" ref="AY258">AX258+AW258</f>
        <v>-648.088609093833</v>
      </c>
      <c r="AZ258" s="11">
        <f aca="true" t="shared" si="884" ref="AZ258">AY258*C258</f>
        <v>-3102.2057451494506</v>
      </c>
      <c r="BB258" s="191">
        <f aca="true" t="shared" si="885" ref="BB258">VLOOKUP(B258,Oproc,5)</f>
        <v>0.0694</v>
      </c>
      <c r="BC258" s="44">
        <f>BB258+Podsumowanie!$E$6</f>
        <v>0.0814</v>
      </c>
      <c r="BD258" s="11">
        <f>BD$5+SUM(BE$5:BE257)+SUM(R$5:R257)-SUM(S$5:S257)</f>
        <v>252750.4451236348</v>
      </c>
      <c r="BE258" s="10">
        <f aca="true" t="shared" si="886" ref="BE258">IF(BG258&lt;0,BG258-BF258,0)</f>
        <v>-764.5772221916993</v>
      </c>
      <c r="BF258" s="10">
        <f aca="true" t="shared" si="887" ref="BF258">IF(BG258&lt;0,-BD258*BC258/12,0)</f>
        <v>-1714.4905194219893</v>
      </c>
      <c r="BG258" s="10">
        <f>IF(U258&lt;0,PMT(BC258/12,Podsumowanie!E$8-SUM(AB$5:AB258)+1,BD258),0)</f>
        <v>-2479.0677416136887</v>
      </c>
      <c r="BI258" s="11">
        <f>BI$5+SUM(BK$5:BK257)+SUM(R$5:R257)-SUM(S$5:S257)</f>
        <v>192757.66016713143</v>
      </c>
      <c r="BJ258" s="11">
        <f aca="true" t="shared" si="888" ref="BJ258">IF(AB258=1,-BC258*BI258/12,0)</f>
        <v>-1307.5394614670415</v>
      </c>
      <c r="BK258" s="11">
        <f aca="true" t="shared" si="889" ref="BK258">IF(AB258=1,-BI258/(P258-K258+1),0)</f>
        <v>-1114.2061281337076</v>
      </c>
      <c r="BL258" s="11">
        <f aca="true" t="shared" si="890" ref="BL258">BK258+BJ258</f>
        <v>-2421.745589600749</v>
      </c>
      <c r="BN258" s="44">
        <f aca="true" t="shared" si="891" ref="BN258">BB258+$BN$4</f>
        <v>0.0815</v>
      </c>
      <c r="BO258" s="11">
        <f>BO$5+SUM(BP$5:BP257)+SUM(R$5:R257)-SUM(S$5:S257)+SUM(BS$5:BS257)</f>
        <v>232876.17414517136</v>
      </c>
      <c r="BP258" s="10">
        <f aca="true" t="shared" si="892" ref="BP258">IF(BR258&lt;0,BR258-BQ258,0)</f>
        <v>-703.8555882813091</v>
      </c>
      <c r="BQ258" s="10">
        <f aca="true" t="shared" si="893" ref="BQ258">IF(BR258&lt;0,-BO258*BN258/12,0)</f>
        <v>-1581.6173494026223</v>
      </c>
      <c r="BR258" s="10">
        <f>IF(U258&lt;0,PMT(BN258/12,Podsumowanie!E$8-SUM(AB$5:AB258)+1,BO258),0)</f>
        <v>-2285.4729376839314</v>
      </c>
      <c r="BS258" s="10">
        <f aca="true" t="shared" si="894" ref="BS258">F258-BR258</f>
        <v>-826.69821957969</v>
      </c>
      <c r="BU258" s="11">
        <f>BU$5+SUM(BW$5:BW257)+SUM(R$5:R257)-SUM(S$5:S257)+SUM(BY$5,BY257)</f>
        <v>192274.46388039005</v>
      </c>
      <c r="BV258" s="10">
        <f aca="true" t="shared" si="895" ref="BV258">IF(AB258=1,-BN258*BU258/12,0)</f>
        <v>-1305.864067187649</v>
      </c>
      <c r="BW258" s="10">
        <f aca="true" t="shared" si="896" ref="BW258">IF(AB258=1,-BU258/(P258-K258+1),0)</f>
        <v>-1111.4130860138152</v>
      </c>
      <c r="BX258" s="10">
        <f aca="true" t="shared" si="897" ref="BX258">BW258+BV258</f>
        <v>-2417.277153201464</v>
      </c>
      <c r="BY258" s="10">
        <f aca="true" t="shared" si="898" ref="BY258">$F258-BX258</f>
        <v>-694.8940040621574</v>
      </c>
      <c r="CA258" s="10">
        <f>CA$5+SUM(CB$5:CB257)+SUM(R$5:R257)-SUM(S$5:S257)-SUM(CC$5:CC257)</f>
        <v>197777.4604937742</v>
      </c>
      <c r="CB258" s="10">
        <f aca="true" t="shared" si="899" ref="CB258">IF(AB258=1,BN258*BU258/12,0)</f>
        <v>1305.864067187649</v>
      </c>
      <c r="CC258" s="10">
        <f aca="true" t="shared" si="900" ref="CC258">-F258</f>
        <v>3112.1711572636214</v>
      </c>
      <c r="CD258" s="10">
        <f aca="true" t="shared" si="901" ref="CD258">CC258-CB258</f>
        <v>1806.3070900759724</v>
      </c>
      <c r="CF258" s="44">
        <f aca="true" t="shared" si="902" ref="CF258">VLOOKUP(B258,Inflacja,2)</f>
        <v>0.0303</v>
      </c>
      <c r="CG258" s="10">
        <f aca="true" t="shared" si="903" ref="CG258">ROUND(CF258*(F258-S258),2)</f>
        <v>-94.3</v>
      </c>
      <c r="CH258" s="4">
        <f aca="true" t="shared" si="904" ref="CH258">ROUND(R258*CF258,2)</f>
        <v>0</v>
      </c>
    </row>
    <row r="259" spans="2:86" ht="15.75">
      <c r="B259" s="37">
        <v>44986</v>
      </c>
      <c r="C259" s="77">
        <f aca="true" t="shared" si="905" ref="C259">VLOOKUP(B259,Kursy,C$2)</f>
        <v>4.7409</v>
      </c>
      <c r="D259" s="79">
        <f>C259*(1+Podsumowanie!E$11)</f>
        <v>4.883127</v>
      </c>
      <c r="E259" s="34">
        <f aca="true" t="shared" si="906" ref="E259">Z259</f>
        <v>-636.3726161563945</v>
      </c>
      <c r="F259" s="7">
        <f aca="true" t="shared" si="907" ref="F259">E259*D259</f>
        <v>-3107.4883040139266</v>
      </c>
      <c r="G259" s="7">
        <f aca="true" t="shared" si="908" ref="G259">U259</f>
        <v>-1403.5745329779177</v>
      </c>
      <c r="H259" s="7">
        <f aca="true" t="shared" si="909" ref="H259">G259-F259</f>
        <v>1703.913771036009</v>
      </c>
      <c r="I259" s="32"/>
      <c r="K259" s="4">
        <f>IF(B259&lt;Podsumowanie!E$7,0,K258+1)</f>
        <v>189</v>
      </c>
      <c r="L259" s="100">
        <f aca="true" t="shared" si="910" ref="L259">VLOOKUP(B259,Oproc,C$2)</f>
        <v>0.009792</v>
      </c>
      <c r="M259" s="38">
        <f>L259+Podsumowanie!E$6</f>
        <v>0.021792</v>
      </c>
      <c r="N259" s="101">
        <f>MAX(Podsumowanie!E$4+SUM(AA$5:AA258)-SUM(X$5:X259)+SUM(W$5:W259),0)</f>
        <v>94403.05836944771</v>
      </c>
      <c r="O259" s="102">
        <f>MAX(Podsumowanie!E$2+SUM(V$5:V258)-SUM(S$5:S259)+SUM(R$5:R259),0)</f>
        <v>208214.0638968367</v>
      </c>
      <c r="P259" s="39">
        <f t="shared" si="398"/>
        <v>360</v>
      </c>
      <c r="Q259" s="40" t="str">
        <f>IF(AND(K259&gt;0,K259&lt;=Podsumowanie!E$9),"tak","nie")</f>
        <v>nie</v>
      </c>
      <c r="R259" s="41"/>
      <c r="S259" s="42"/>
      <c r="T259" s="88">
        <f aca="true" t="shared" si="911" ref="T259">IF(AB259=1,-O259*M259/12,0)</f>
        <v>-378.1167400366555</v>
      </c>
      <c r="U259" s="89">
        <f>IF(Q259="tak",T259,IF(P259-SUM(AB$5:AB259)+1&gt;0,IF(Podsumowanie!E$7&lt;B259,IF(SUM(AB$5:AB259)-Podsumowanie!E$9+1&gt;0,PMT(M259/12,P259+1-SUM(AB$5:AB259),O259),T259),0),0))</f>
        <v>-1403.5745329779177</v>
      </c>
      <c r="V259" s="89">
        <f aca="true" t="shared" si="912" ref="V259">U259-T259</f>
        <v>-1025.4577929412621</v>
      </c>
      <c r="W259" s="90" t="str">
        <f>IF(R259&gt;0,R259/(C259*(1-Podsumowanie!E$11))," ")</f>
        <v xml:space="preserve"> </v>
      </c>
      <c r="X259" s="90" t="str">
        <f aca="true" t="shared" si="913" ref="X259">IF(S259&gt;0,S259/D259," ")</f>
        <v xml:space="preserve"> </v>
      </c>
      <c r="Y259" s="91">
        <f aca="true" t="shared" si="914" ref="Y259">IF(AB259=1,-N259*M259/12,0)</f>
        <v>-171.43595399891703</v>
      </c>
      <c r="Z259" s="90">
        <f>IF(P259-SUM(AB$5:AB259)+1&gt;0,IF(Podsumowanie!E$7&lt;B259,IF(SUM(AB$5:AB259)-Podsumowanie!E$9+1&gt;0,PMT(M259/12,P259+1-SUM(AB$5:AB259),N259),Y259),0),0)</f>
        <v>-636.3726161563945</v>
      </c>
      <c r="AA259" s="90">
        <f aca="true" t="shared" si="915" ref="AA259">Z259-Y259</f>
        <v>-464.9366621574775</v>
      </c>
      <c r="AB259" s="8">
        <f>IF(AND(Podsumowanie!E$7&lt;B259,SUM(AB$5:AB258)&lt;P258),1," ")</f>
        <v>1</v>
      </c>
      <c r="AD259" s="10">
        <f>Podsumowanie!E$4-SUM(AF$5:AF258)+SUM(W$42:W259)-SUM(X$42:X259)</f>
        <v>86890.09813555251</v>
      </c>
      <c r="AE259" s="10">
        <f aca="true" t="shared" si="916" ref="AE259">IF(AB259=1,ROUND(AD259*M259/12,2),0)</f>
        <v>157.79</v>
      </c>
      <c r="AF259" s="10">
        <f aca="true" t="shared" si="917" ref="AF259">IF(Q259="tak",0,IF(AB259=1,ROUND(AD259/(P259-K259+1),2),0))</f>
        <v>505.17</v>
      </c>
      <c r="AG259" s="10">
        <f aca="true" t="shared" si="918" ref="AG259">AF259+AE259</f>
        <v>662.96</v>
      </c>
      <c r="AH259" s="10">
        <f aca="true" t="shared" si="919" ref="AH259">ROUND(AG259*D259,2)</f>
        <v>3237.32</v>
      </c>
      <c r="AI259" s="10">
        <f>Podsumowanie!E$2-SUM(AK$5:AK258)+SUM(R$42:R259)-SUM(S$42:S259)</f>
        <v>191643.25999999972</v>
      </c>
      <c r="AJ259" s="10">
        <f aca="true" t="shared" si="920" ref="AJ259">IF(AB259=1,ROUND(AI259*M259/12,2),0)</f>
        <v>348.02</v>
      </c>
      <c r="AK259" s="10">
        <f aca="true" t="shared" si="921" ref="AK259">IF(Q259="tak",0,IF(AB259=1,ROUND(AI259/(P259-K259+1),2),0))</f>
        <v>1114.21</v>
      </c>
      <c r="AL259" s="10">
        <f aca="true" t="shared" si="922" ref="AL259">AK259+AJ259</f>
        <v>1462.23</v>
      </c>
      <c r="AM259" s="10">
        <f aca="true" t="shared" si="923" ref="AM259">AH259-AL259</f>
        <v>1775.0900000000001</v>
      </c>
      <c r="AO259" s="43">
        <f aca="true" t="shared" si="924" ref="AO259">B259</f>
        <v>44986</v>
      </c>
      <c r="AP259" s="11">
        <f>AP$5+SUM(AS$5:AS258)-SUM(X$5:X259)+SUM(W$5:W259)</f>
        <v>91570.96661836424</v>
      </c>
      <c r="AQ259" s="10">
        <f aca="true" t="shared" si="925" ref="AQ259">IF(AB259=1,-AP259*M259/12,0)</f>
        <v>-166.29287537894945</v>
      </c>
      <c r="AR259" s="10">
        <f>IF(AB259=1,IF(Q259="tak",AQ259,PMT(M259/12,P259+1-SUM(AB$5:AB259),AP259)),0)</f>
        <v>-617.2814376717025</v>
      </c>
      <c r="AS259" s="10">
        <f aca="true" t="shared" si="926" ref="AS259">AR259-AQ259</f>
        <v>-450.98856229275304</v>
      </c>
      <c r="AT259" s="10">
        <f aca="true" t="shared" si="927" ref="AT259">AR259*C259</f>
        <v>-2926.4695678577746</v>
      </c>
      <c r="AV259" s="11">
        <f>AV$5+SUM(AX$5:AX258)+SUM(W$5:W258)-SUM(X$5:X258)</f>
        <v>84283.2271914856</v>
      </c>
      <c r="AW259" s="11">
        <f aca="true" t="shared" si="928" ref="AW259">IF(AB259=1,-AP259*M259/12,0)</f>
        <v>-166.29287537894945</v>
      </c>
      <c r="AX259" s="11">
        <f aca="true" t="shared" si="929" ref="AX259">IF(AB259=1,IF(Q259="tak",0,ROUND(-AV259/(P259-K259+1),2)),0)</f>
        <v>-490.02</v>
      </c>
      <c r="AY259" s="11">
        <f aca="true" t="shared" si="930" ref="AY259">AX259+AW259</f>
        <v>-656.3128753789495</v>
      </c>
      <c r="AZ259" s="11">
        <f aca="true" t="shared" si="931" ref="AZ259">AY259*C259</f>
        <v>-3111.5137108840613</v>
      </c>
      <c r="BB259" s="191">
        <f aca="true" t="shared" si="932" ref="BB259">VLOOKUP(B259,Oproc,5)</f>
        <v>0.0694</v>
      </c>
      <c r="BC259" s="44">
        <f>BB259+Podsumowanie!$E$6</f>
        <v>0.0814</v>
      </c>
      <c r="BD259" s="11">
        <f>BD$5+SUM(BE$5:BE258)+SUM(R$5:R258)-SUM(S$5:S258)</f>
        <v>251985.8679014431</v>
      </c>
      <c r="BE259" s="10">
        <f aca="true" t="shared" si="933" ref="BE259">IF(BG259&lt;0,BG259-BF259,0)</f>
        <v>-769.763604348899</v>
      </c>
      <c r="BF259" s="10">
        <f aca="true" t="shared" si="934" ref="BF259">IF(BG259&lt;0,-BD259*BC259/12,0)</f>
        <v>-1709.3041372647892</v>
      </c>
      <c r="BG259" s="10">
        <f>IF(U259&lt;0,PMT(BC259/12,Podsumowanie!E$8-SUM(AB$5:AB259)+1,BD259),0)</f>
        <v>-2479.067741613688</v>
      </c>
      <c r="BI259" s="11">
        <f>BI$5+SUM(BK$5:BK258)+SUM(R$5:R258)-SUM(S$5:S258)</f>
        <v>191643.45403899773</v>
      </c>
      <c r="BJ259" s="11">
        <f aca="true" t="shared" si="935" ref="BJ259">IF(AB259=1,-BC259*BI259/12,0)</f>
        <v>-1299.9814298978679</v>
      </c>
      <c r="BK259" s="11">
        <f aca="true" t="shared" si="936" ref="BK259">IF(AB259=1,-BI259/(P259-K259+1),0)</f>
        <v>-1114.2061281337078</v>
      </c>
      <c r="BL259" s="11">
        <f aca="true" t="shared" si="937" ref="BL259">BK259+BJ259</f>
        <v>-2414.1875580315755</v>
      </c>
      <c r="BN259" s="44">
        <f aca="true" t="shared" si="938" ref="BN259">BB259+$BN$4</f>
        <v>0.0815</v>
      </c>
      <c r="BO259" s="11">
        <f>BO$5+SUM(BP$5:BP258)+SUM(R$5:R258)-SUM(S$5:S258)+SUM(BS$5:BS258)</f>
        <v>231345.62033731033</v>
      </c>
      <c r="BP259" s="10">
        <f aca="true" t="shared" si="939" ref="BP259">IF(BR259&lt;0,BR259-BQ259,0)</f>
        <v>-706.1126939720523</v>
      </c>
      <c r="BQ259" s="10">
        <f aca="true" t="shared" si="940" ref="BQ259">IF(BR259&lt;0,-BO259*BN259/12,0)</f>
        <v>-1571.2223381242327</v>
      </c>
      <c r="BR259" s="10">
        <f>IF(U259&lt;0,PMT(BN259/12,Podsumowanie!E$8-SUM(AB$5:AB259)+1,BO259),0)</f>
        <v>-2277.335032096285</v>
      </c>
      <c r="BS259" s="10">
        <f aca="true" t="shared" si="941" ref="BS259">F259-BR259</f>
        <v>-830.1532719176416</v>
      </c>
      <c r="BU259" s="11">
        <f>BU$5+SUM(BW$5:BW258)+SUM(R$5:R258)-SUM(S$5:S258)+SUM(BY$5,BY258)</f>
        <v>191073.26361122107</v>
      </c>
      <c r="BV259" s="10">
        <f aca="true" t="shared" si="942" ref="BV259">IF(AB259=1,-BN259*BU259/12,0)</f>
        <v>-1297.705915359543</v>
      </c>
      <c r="BW259" s="10">
        <f aca="true" t="shared" si="943" ref="BW259">IF(AB259=1,-BU259/(P259-K259+1),0)</f>
        <v>-1110.8910675070993</v>
      </c>
      <c r="BX259" s="10">
        <f aca="true" t="shared" si="944" ref="BX259">BW259+BV259</f>
        <v>-2408.596982866642</v>
      </c>
      <c r="BY259" s="10">
        <f aca="true" t="shared" si="945" ref="BY259">$F259-BX259</f>
        <v>-698.8913211472845</v>
      </c>
      <c r="CA259" s="10">
        <f>CA$5+SUM(CB$5:CB258)+SUM(R$5:R258)-SUM(S$5:S258)-SUM(CC$5:CC258)</f>
        <v>195971.15340369823</v>
      </c>
      <c r="CB259" s="10">
        <f aca="true" t="shared" si="946" ref="CB259">IF(AB259=1,BN259*BU259/12,0)</f>
        <v>1297.705915359543</v>
      </c>
      <c r="CC259" s="10">
        <f aca="true" t="shared" si="947" ref="CC259">-F259</f>
        <v>3107.4883040139266</v>
      </c>
      <c r="CD259" s="10">
        <f aca="true" t="shared" si="948" ref="CD259">CC259-CB259</f>
        <v>1809.7823886543836</v>
      </c>
      <c r="CF259" s="44">
        <f aca="true" t="shared" si="949" ref="CF259">VLOOKUP(B259,Inflacja,2)</f>
        <v>0.0303</v>
      </c>
      <c r="CG259" s="10">
        <f aca="true" t="shared" si="950" ref="CG259">ROUND(CF259*(F259-S259),2)</f>
        <v>-94.16</v>
      </c>
      <c r="CH259" s="4">
        <f aca="true" t="shared" si="951" ref="CH259">ROUND(R259*CF259,2)</f>
        <v>0</v>
      </c>
    </row>
    <row r="260" spans="2:86" ht="15.75">
      <c r="B260" s="37">
        <v>45017</v>
      </c>
      <c r="C260" s="77">
        <f aca="true" t="shared" si="952" ref="C260">VLOOKUP(B260,Kursy,C$2)</f>
        <v>4.7102</v>
      </c>
      <c r="D260" s="79">
        <f>C260*(1+Podsumowanie!E$11)</f>
        <v>4.8515060000000005</v>
      </c>
      <c r="E260" s="34">
        <f aca="true" t="shared" si="953" ref="E260">Z260</f>
        <v>-636.3726161563947</v>
      </c>
      <c r="F260" s="7">
        <f aca="true" t="shared" si="954" ref="F260">E260*D260</f>
        <v>-3087.365565518446</v>
      </c>
      <c r="G260" s="7">
        <f aca="true" t="shared" si="955" ref="G260">U260</f>
        <v>-1403.5745329779181</v>
      </c>
      <c r="H260" s="7">
        <f aca="true" t="shared" si="956" ref="H260">G260-F260</f>
        <v>1683.791032540528</v>
      </c>
      <c r="I260" s="32"/>
      <c r="K260" s="4">
        <f>IF(B260&lt;Podsumowanie!E$7,0,K259+1)</f>
        <v>190</v>
      </c>
      <c r="L260" s="100">
        <f aca="true" t="shared" si="957" ref="L260">VLOOKUP(B260,Oproc,C$2)</f>
        <v>0.009792</v>
      </c>
      <c r="M260" s="38">
        <f>L260+Podsumowanie!E$6</f>
        <v>0.021792</v>
      </c>
      <c r="N260" s="101">
        <f>MAX(Podsumowanie!E$4+SUM(AA$5:AA259)-SUM(X$5:X260)+SUM(W$5:W260),0)</f>
        <v>93938.12170729024</v>
      </c>
      <c r="O260" s="102">
        <f>MAX(Podsumowanie!E$2+SUM(V$5:V259)-SUM(S$5:S260)+SUM(R$5:R260),0)</f>
        <v>207188.60610389546</v>
      </c>
      <c r="P260" s="39">
        <f t="shared" si="398"/>
        <v>360</v>
      </c>
      <c r="Q260" s="40" t="str">
        <f>IF(AND(K260&gt;0,K260&lt;=Podsumowanie!E$9),"tak","nie")</f>
        <v>nie</v>
      </c>
      <c r="R260" s="41"/>
      <c r="S260" s="42"/>
      <c r="T260" s="88">
        <f aca="true" t="shared" si="958" ref="T260">IF(AB260=1,-O260*M260/12,0)</f>
        <v>-376.25450868467414</v>
      </c>
      <c r="U260" s="89">
        <f>IF(Q260="tak",T260,IF(P260-SUM(AB$5:AB260)+1&gt;0,IF(Podsumowanie!E$7&lt;B260,IF(SUM(AB$5:AB260)-Podsumowanie!E$9+1&gt;0,PMT(M260/12,P260+1-SUM(AB$5:AB260),O260),T260),0),0))</f>
        <v>-1403.5745329779181</v>
      </c>
      <c r="V260" s="89">
        <f aca="true" t="shared" si="959" ref="V260">U260-T260</f>
        <v>-1027.320024293244</v>
      </c>
      <c r="W260" s="90" t="str">
        <f>IF(R260&gt;0,R260/(C260*(1-Podsumowanie!E$11))," ")</f>
        <v xml:space="preserve"> </v>
      </c>
      <c r="X260" s="90" t="str">
        <f aca="true" t="shared" si="960" ref="X260">IF(S260&gt;0,S260/D260," ")</f>
        <v xml:space="preserve"> </v>
      </c>
      <c r="Y260" s="91">
        <f aca="true" t="shared" si="961" ref="Y260">IF(AB260=1,-N260*M260/12,0)</f>
        <v>-170.59162902043906</v>
      </c>
      <c r="Z260" s="90">
        <f>IF(P260-SUM(AB$5:AB260)+1&gt;0,IF(Podsumowanie!E$7&lt;B260,IF(SUM(AB$5:AB260)-Podsumowanie!E$9+1&gt;0,PMT(M260/12,P260+1-SUM(AB$5:AB260),N260),Y260),0),0)</f>
        <v>-636.3726161563947</v>
      </c>
      <c r="AA260" s="90">
        <f aca="true" t="shared" si="962" ref="AA260">Z260-Y260</f>
        <v>-465.78098713595557</v>
      </c>
      <c r="AB260" s="8">
        <f>IF(AND(Podsumowanie!E$7&lt;B260,SUM(AB$5:AB259)&lt;P259),1," ")</f>
        <v>1</v>
      </c>
      <c r="AD260" s="10">
        <f>Podsumowanie!E$4-SUM(AF$5:AF259)+SUM(W$42:W260)-SUM(X$42:X260)</f>
        <v>86384.92813555252</v>
      </c>
      <c r="AE260" s="10">
        <f aca="true" t="shared" si="963" ref="AE260">IF(AB260=1,ROUND(AD260*M260/12,2),0)</f>
        <v>156.88</v>
      </c>
      <c r="AF260" s="10">
        <f aca="true" t="shared" si="964" ref="AF260">IF(Q260="tak",0,IF(AB260=1,ROUND(AD260/(P260-K260+1),2),0))</f>
        <v>505.18</v>
      </c>
      <c r="AG260" s="10">
        <f aca="true" t="shared" si="965" ref="AG260">AF260+AE260</f>
        <v>662.06</v>
      </c>
      <c r="AH260" s="10">
        <f aca="true" t="shared" si="966" ref="AH260">ROUND(AG260*D260,2)</f>
        <v>3211.99</v>
      </c>
      <c r="AI260" s="10">
        <f>Podsumowanie!E$2-SUM(AK$5:AK259)+SUM(R$42:R260)-SUM(S$42:S260)</f>
        <v>190529.04999999973</v>
      </c>
      <c r="AJ260" s="10">
        <f aca="true" t="shared" si="967" ref="AJ260">IF(AB260=1,ROUND(AI260*M260/12,2),0)</f>
        <v>346</v>
      </c>
      <c r="AK260" s="10">
        <f aca="true" t="shared" si="968" ref="AK260">IF(Q260="tak",0,IF(AB260=1,ROUND(AI260/(P260-K260+1),2),0))</f>
        <v>1114.2</v>
      </c>
      <c r="AL260" s="10">
        <f aca="true" t="shared" si="969" ref="AL260">AK260+AJ260</f>
        <v>1460.2</v>
      </c>
      <c r="AM260" s="10">
        <f aca="true" t="shared" si="970" ref="AM260">AH260-AL260</f>
        <v>1751.7899999999997</v>
      </c>
      <c r="AO260" s="43">
        <f aca="true" t="shared" si="971" ref="AO260">B260</f>
        <v>45017</v>
      </c>
      <c r="AP260" s="11">
        <f>AP$5+SUM(AS$5:AS259)-SUM(X$5:X260)+SUM(W$5:W260)</f>
        <v>91119.97805607149</v>
      </c>
      <c r="AQ260" s="10">
        <f aca="true" t="shared" si="972" ref="AQ260">IF(AB260=1,-AP260*M260/12,0)</f>
        <v>-165.47388014982582</v>
      </c>
      <c r="AR260" s="10">
        <f>IF(AB260=1,IF(Q260="tak",AQ260,PMT(M260/12,P260+1-SUM(AB$5:AB260),AP260)),0)</f>
        <v>-617.2814376717026</v>
      </c>
      <c r="AS260" s="10">
        <f aca="true" t="shared" si="973" ref="AS260">AR260-AQ260</f>
        <v>-451.8075575218768</v>
      </c>
      <c r="AT260" s="10">
        <f aca="true" t="shared" si="974" ref="AT260">AR260*C260</f>
        <v>-2907.519027721254</v>
      </c>
      <c r="AV260" s="11">
        <f>AV$5+SUM(AX$5:AX259)+SUM(W$5:W259)-SUM(X$5:X259)</f>
        <v>83793.20719148559</v>
      </c>
      <c r="AW260" s="11">
        <f aca="true" t="shared" si="975" ref="AW260">IF(AB260=1,-AP260*M260/12,0)</f>
        <v>-165.47388014982582</v>
      </c>
      <c r="AX260" s="11">
        <f aca="true" t="shared" si="976" ref="AX260">IF(AB260=1,IF(Q260="tak",0,ROUND(-AV260/(P260-K260+1),2)),0)</f>
        <v>-490.02</v>
      </c>
      <c r="AY260" s="11">
        <f aca="true" t="shared" si="977" ref="AY260">AX260+AW260</f>
        <v>-655.4938801498258</v>
      </c>
      <c r="AZ260" s="11">
        <f aca="true" t="shared" si="978" ref="AZ260">AY260*C260</f>
        <v>-3087.5072742817097</v>
      </c>
      <c r="BB260" s="191">
        <f aca="true" t="shared" si="979" ref="BB260">VLOOKUP(B260,Oproc,5)</f>
        <v>0.069</v>
      </c>
      <c r="BC260" s="44">
        <f>BB260+Podsumowanie!$E$6</f>
        <v>0.081</v>
      </c>
      <c r="BD260" s="11">
        <f>BD$5+SUM(BE$5:BE259)+SUM(R$5:R259)-SUM(S$5:S259)</f>
        <v>251216.1042970942</v>
      </c>
      <c r="BE260" s="10">
        <f aca="true" t="shared" si="980" ref="BE260">IF(BG260&lt;0,BG260-BF260,0)</f>
        <v>-777.6007570076879</v>
      </c>
      <c r="BF260" s="10">
        <f aca="true" t="shared" si="981" ref="BF260">IF(BG260&lt;0,-BD260*BC260/12,0)</f>
        <v>-1695.708704005386</v>
      </c>
      <c r="BG260" s="10">
        <f>IF(U260&lt;0,PMT(BC260/12,Podsumowanie!E$8-SUM(AB$5:AB260)+1,BD260),0)</f>
        <v>-2473.309461013074</v>
      </c>
      <c r="BI260" s="11">
        <f>BI$5+SUM(BK$5:BK259)+SUM(R$5:R259)-SUM(S$5:S259)</f>
        <v>190529.24791086404</v>
      </c>
      <c r="BJ260" s="11">
        <f aca="true" t="shared" si="982" ref="BJ260">IF(AB260=1,-BC260*BI260/12,0)</f>
        <v>-1286.0724233983324</v>
      </c>
      <c r="BK260" s="11">
        <f aca="true" t="shared" si="983" ref="BK260">IF(AB260=1,-BI260/(P260-K260+1),0)</f>
        <v>-1114.2061281337078</v>
      </c>
      <c r="BL260" s="11">
        <f aca="true" t="shared" si="984" ref="BL260">BK260+BJ260</f>
        <v>-2400.27855153204</v>
      </c>
      <c r="BN260" s="44">
        <f aca="true" t="shared" si="985" ref="BN260">BB260+$BN$4</f>
        <v>0.0811</v>
      </c>
      <c r="BO260" s="11">
        <f>BO$5+SUM(BP$5:BP259)+SUM(R$5:R259)-SUM(S$5:S259)+SUM(BS$5:BS259)</f>
        <v>229809.35437142066</v>
      </c>
      <c r="BP260" s="10">
        <f aca="true" t="shared" si="986" ref="BP260">IF(BR260&lt;0,BR260-BQ260,0)</f>
        <v>-710.7406877921744</v>
      </c>
      <c r="BQ260" s="10">
        <f aca="true" t="shared" si="987" ref="BQ260">IF(BR260&lt;0,-BO260*BN260/12,0)</f>
        <v>-1553.1282199601847</v>
      </c>
      <c r="BR260" s="10">
        <f>IF(U260&lt;0,PMT(BN260/12,Podsumowanie!E$8-SUM(AB$5:AB260)+1,BO260),0)</f>
        <v>-2263.868907752359</v>
      </c>
      <c r="BS260" s="10">
        <f aca="true" t="shared" si="988" ref="BS260">F260-BR260</f>
        <v>-823.4966577660871</v>
      </c>
      <c r="BU260" s="11">
        <f>BU$5+SUM(BW$5:BW259)+SUM(R$5:R259)-SUM(S$5:S259)+SUM(BY$5,BY259)</f>
        <v>189958.37522662885</v>
      </c>
      <c r="BV260" s="10">
        <f aca="true" t="shared" si="989" ref="BV260">IF(AB260=1,-BN260*BU260/12,0)</f>
        <v>-1283.8020192399667</v>
      </c>
      <c r="BW260" s="10">
        <f aca="true" t="shared" si="990" ref="BW260">IF(AB260=1,-BU260/(P260-K260+1),0)</f>
        <v>-1110.8676913837944</v>
      </c>
      <c r="BX260" s="10">
        <f aca="true" t="shared" si="991" ref="BX260">BW260+BV260</f>
        <v>-2394.669710623761</v>
      </c>
      <c r="BY260" s="10">
        <f aca="true" t="shared" si="992" ref="BY260">$F260-BX260</f>
        <v>-692.695854894685</v>
      </c>
      <c r="CA260" s="10">
        <f>CA$5+SUM(CB$5:CB259)+SUM(R$5:R259)-SUM(S$5:S259)-SUM(CC$5:CC259)</f>
        <v>194161.37101504387</v>
      </c>
      <c r="CB260" s="10">
        <f aca="true" t="shared" si="993" ref="CB260">IF(AB260=1,BN260*BU260/12,0)</f>
        <v>1283.8020192399667</v>
      </c>
      <c r="CC260" s="10">
        <f aca="true" t="shared" si="994" ref="CC260">-F260</f>
        <v>3087.365565518446</v>
      </c>
      <c r="CD260" s="10">
        <f aca="true" t="shared" si="995" ref="CD260">CC260-CB260</f>
        <v>1803.5635462784794</v>
      </c>
      <c r="CF260" s="44">
        <f aca="true" t="shared" si="996" ref="CF260">VLOOKUP(B260,Inflacja,2)</f>
        <v>0.0303</v>
      </c>
      <c r="CG260" s="10">
        <f aca="true" t="shared" si="997" ref="CG260">ROUND(CF260*(F260-S260),2)</f>
        <v>-93.55</v>
      </c>
      <c r="CH260" s="4">
        <f aca="true" t="shared" si="998" ref="CH260">ROUND(R260*CF260,2)</f>
        <v>0</v>
      </c>
    </row>
  </sheetData>
  <dataValidations count="1">
    <dataValidation type="list" allowBlank="1" showInputMessage="1" showErrorMessage="1" sqref="Q5:Q260">
      <formula1>$AN$5:$AN$42</formula1>
    </dataValidation>
  </dataValidations>
  <printOptions/>
  <pageMargins left="0" right="0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58"/>
  <sheetViews>
    <sheetView workbookViewId="0" topLeftCell="A1">
      <pane xSplit="1" ySplit="2" topLeftCell="E230" activePane="bottomRight" state="frozen"/>
      <selection pane="topRight" activeCell="B1" sqref="B1"/>
      <selection pane="bottomLeft" activeCell="A3" sqref="A3"/>
      <selection pane="bottomRight" activeCell="T248" sqref="T248"/>
    </sheetView>
  </sheetViews>
  <sheetFormatPr defaultColWidth="11.00390625" defaultRowHeight="15.75"/>
  <cols>
    <col min="1" max="1" width="10.875" style="123" customWidth="1"/>
    <col min="2" max="4" width="10.875" style="128" customWidth="1"/>
    <col min="5" max="8" width="10.875" style="123" customWidth="1"/>
    <col min="9" max="9" width="16.125" style="123" customWidth="1"/>
    <col min="10" max="16384" width="10.875" style="123" customWidth="1"/>
  </cols>
  <sheetData>
    <row r="1" spans="1:24" ht="35" customHeight="1">
      <c r="A1" s="127" t="s">
        <v>75</v>
      </c>
      <c r="H1" s="123" t="s">
        <v>76</v>
      </c>
      <c r="I1" s="123" t="s">
        <v>56</v>
      </c>
      <c r="J1" s="123" t="s">
        <v>79</v>
      </c>
      <c r="K1" s="123" t="s">
        <v>78</v>
      </c>
      <c r="L1" s="123" t="s">
        <v>34</v>
      </c>
      <c r="N1" s="123" t="s">
        <v>61</v>
      </c>
      <c r="O1" s="123" t="s">
        <v>77</v>
      </c>
      <c r="Q1" s="123" t="s">
        <v>102</v>
      </c>
      <c r="R1" s="127" t="s">
        <v>94</v>
      </c>
      <c r="W1" s="127" t="s">
        <v>145</v>
      </c>
      <c r="X1" s="219"/>
    </row>
    <row r="2" spans="1:23" ht="15.75">
      <c r="A2" s="129" t="s">
        <v>74</v>
      </c>
      <c r="B2" s="126" t="s">
        <v>7</v>
      </c>
      <c r="C2" s="126" t="s">
        <v>55</v>
      </c>
      <c r="D2" s="126" t="s">
        <v>73</v>
      </c>
      <c r="H2" s="129" t="s">
        <v>74</v>
      </c>
      <c r="I2" s="129" t="s">
        <v>7</v>
      </c>
      <c r="J2" s="129" t="s">
        <v>55</v>
      </c>
      <c r="K2" s="129" t="s">
        <v>73</v>
      </c>
      <c r="L2" s="123" t="s">
        <v>8</v>
      </c>
      <c r="N2" s="123" t="s">
        <v>7</v>
      </c>
      <c r="O2" s="123">
        <v>2</v>
      </c>
      <c r="R2" s="144" t="s">
        <v>96</v>
      </c>
      <c r="V2" s="129" t="s">
        <v>74</v>
      </c>
      <c r="W2" s="219" t="s">
        <v>144</v>
      </c>
    </row>
    <row r="3" spans="1:23" ht="15.75">
      <c r="A3" s="124">
        <v>37257</v>
      </c>
      <c r="B3" s="130">
        <v>2.4382</v>
      </c>
      <c r="C3" s="126">
        <v>3.595</v>
      </c>
      <c r="D3" s="126">
        <v>4.0649</v>
      </c>
      <c r="H3" s="124">
        <v>37257</v>
      </c>
      <c r="I3" s="133">
        <v>0.018267</v>
      </c>
      <c r="J3" s="134">
        <v>0.03279</v>
      </c>
      <c r="K3" s="136">
        <v>0.0186</v>
      </c>
      <c r="L3" s="193">
        <v>0.1182</v>
      </c>
      <c r="N3" s="123" t="s">
        <v>55</v>
      </c>
      <c r="O3" s="123">
        <v>3</v>
      </c>
      <c r="Q3" s="124">
        <v>37257</v>
      </c>
      <c r="R3" s="145">
        <f>Podsumowanie!E$6</f>
        <v>0.012</v>
      </c>
      <c r="S3" s="127" t="s">
        <v>97</v>
      </c>
      <c r="V3" s="124">
        <v>37257</v>
      </c>
      <c r="W3" s="223">
        <v>0.9524</v>
      </c>
    </row>
    <row r="4" spans="1:23" ht="15.75">
      <c r="A4" s="125">
        <v>37288</v>
      </c>
      <c r="B4" s="130">
        <v>2.4643</v>
      </c>
      <c r="C4" s="126">
        <v>3.6414</v>
      </c>
      <c r="D4" s="126">
        <v>4.1871</v>
      </c>
      <c r="H4" s="125">
        <v>37288</v>
      </c>
      <c r="I4" s="133">
        <v>0.016767</v>
      </c>
      <c r="J4" s="134">
        <v>0.03375</v>
      </c>
      <c r="K4" s="136">
        <v>0.0192</v>
      </c>
      <c r="L4" s="193">
        <v>0.1081</v>
      </c>
      <c r="N4" s="123" t="s">
        <v>73</v>
      </c>
      <c r="O4" s="123">
        <v>4</v>
      </c>
      <c r="Q4" s="125">
        <v>37288</v>
      </c>
      <c r="R4" s="145">
        <f>Podsumowanie!E$6</f>
        <v>0.012</v>
      </c>
      <c r="V4" s="125">
        <v>37288</v>
      </c>
      <c r="W4" s="223">
        <v>0.9504</v>
      </c>
    </row>
    <row r="5" spans="1:23" ht="15.75">
      <c r="A5" s="125">
        <v>37316</v>
      </c>
      <c r="B5" s="130">
        <v>2.4726</v>
      </c>
      <c r="C5" s="126">
        <v>3.6295</v>
      </c>
      <c r="D5" s="126">
        <v>4.1427</v>
      </c>
      <c r="H5" s="125">
        <v>37316</v>
      </c>
      <c r="I5" s="133">
        <v>0.017467</v>
      </c>
      <c r="J5" s="134">
        <v>0.03367</v>
      </c>
      <c r="K5" s="136">
        <v>0.019</v>
      </c>
      <c r="L5" s="193">
        <v>0.1019</v>
      </c>
      <c r="Q5" s="125">
        <v>37316</v>
      </c>
      <c r="R5" s="145">
        <f>Podsumowanie!E$6</f>
        <v>0.012</v>
      </c>
      <c r="V5" s="125">
        <v>37316</v>
      </c>
      <c r="W5" s="223">
        <v>0.9465</v>
      </c>
    </row>
    <row r="6" spans="1:23" ht="15.75">
      <c r="A6" s="125">
        <v>37347</v>
      </c>
      <c r="B6" s="130">
        <v>2.4517</v>
      </c>
      <c r="C6" s="126">
        <v>3.5947</v>
      </c>
      <c r="D6" s="126">
        <v>4.059</v>
      </c>
      <c r="H6" s="125">
        <v>37347</v>
      </c>
      <c r="I6" s="133">
        <v>0.016283</v>
      </c>
      <c r="J6" s="134">
        <v>0.03446</v>
      </c>
      <c r="K6" s="136">
        <v>0.0204</v>
      </c>
      <c r="L6" s="193">
        <v>0.1034</v>
      </c>
      <c r="Q6" s="125">
        <v>37347</v>
      </c>
      <c r="R6" s="145">
        <f>Podsumowanie!E$6</f>
        <v>0.012</v>
      </c>
      <c r="V6" s="125">
        <v>37347</v>
      </c>
      <c r="W6" s="223">
        <v>0.9369</v>
      </c>
    </row>
    <row r="7" spans="1:23" ht="15.75">
      <c r="A7" s="125">
        <v>37377</v>
      </c>
      <c r="B7" s="130">
        <v>2.5422</v>
      </c>
      <c r="C7" s="126">
        <v>3.7026</v>
      </c>
      <c r="D7" s="126">
        <v>4.0454</v>
      </c>
      <c r="H7" s="125">
        <v>37377</v>
      </c>
      <c r="I7" s="133">
        <v>0.015</v>
      </c>
      <c r="J7" s="134">
        <v>0.03383</v>
      </c>
      <c r="K7" s="136">
        <v>0.0192</v>
      </c>
      <c r="L7" s="193">
        <v>0.101</v>
      </c>
      <c r="M7" s="127" t="s">
        <v>80</v>
      </c>
      <c r="Q7" s="125">
        <v>37377</v>
      </c>
      <c r="R7" s="145">
        <f>Podsumowanie!E$6</f>
        <v>0.012</v>
      </c>
      <c r="V7" s="125">
        <v>37377</v>
      </c>
      <c r="W7" s="223">
        <v>0.9407</v>
      </c>
    </row>
    <row r="8" spans="1:23" ht="15.75">
      <c r="A8" s="125">
        <v>37408</v>
      </c>
      <c r="B8" s="130">
        <v>2.6149</v>
      </c>
      <c r="C8" s="126">
        <v>3.8474</v>
      </c>
      <c r="D8" s="126">
        <v>4.0247</v>
      </c>
      <c r="H8" s="125">
        <v>37408</v>
      </c>
      <c r="I8" s="133">
        <v>0.012533</v>
      </c>
      <c r="J8" s="134">
        <v>0.03483</v>
      </c>
      <c r="K8" s="136">
        <v>0.0189</v>
      </c>
      <c r="L8" s="193">
        <v>0.096</v>
      </c>
      <c r="M8" s="144" t="s">
        <v>116</v>
      </c>
      <c r="Q8" s="125">
        <v>37408</v>
      </c>
      <c r="R8" s="145">
        <f>Podsumowanie!E$6</f>
        <v>0.012</v>
      </c>
      <c r="V8" s="125">
        <v>37408</v>
      </c>
      <c r="W8" s="223">
        <v>0.9485</v>
      </c>
    </row>
    <row r="9" spans="1:23" ht="15.75">
      <c r="A9" s="125">
        <v>37438</v>
      </c>
      <c r="B9" s="130">
        <v>2.7957</v>
      </c>
      <c r="C9" s="126">
        <v>4.0877</v>
      </c>
      <c r="D9" s="126">
        <v>4.1177</v>
      </c>
      <c r="H9" s="125">
        <v>37438</v>
      </c>
      <c r="I9" s="133">
        <v>0.012333</v>
      </c>
      <c r="J9" s="134">
        <v>0.03438</v>
      </c>
      <c r="K9" s="136">
        <v>0.0186</v>
      </c>
      <c r="L9" s="193">
        <v>0.0893</v>
      </c>
      <c r="Q9" s="125">
        <v>37438</v>
      </c>
      <c r="R9" s="145">
        <f>Podsumowanie!E$6</f>
        <v>0.012</v>
      </c>
      <c r="V9" s="125">
        <v>37438</v>
      </c>
      <c r="W9" s="223">
        <v>0.9583</v>
      </c>
    </row>
    <row r="10" spans="1:23" ht="15.75">
      <c r="A10" s="125">
        <v>37469</v>
      </c>
      <c r="B10" s="130">
        <v>2.7926</v>
      </c>
      <c r="C10" s="126">
        <v>4.0852</v>
      </c>
      <c r="D10" s="126">
        <v>4.1789</v>
      </c>
      <c r="H10" s="125">
        <v>37469</v>
      </c>
      <c r="I10" s="133">
        <v>0.00795</v>
      </c>
      <c r="J10" s="134">
        <v>0.03371</v>
      </c>
      <c r="K10" s="136">
        <v>0.0181</v>
      </c>
      <c r="L10" s="193">
        <v>0.0865</v>
      </c>
      <c r="Q10" s="125">
        <v>37469</v>
      </c>
      <c r="R10" s="145">
        <f>Podsumowanie!E$6</f>
        <v>0.012</v>
      </c>
      <c r="V10" s="125">
        <v>37469</v>
      </c>
      <c r="W10" s="223">
        <v>0.9662</v>
      </c>
    </row>
    <row r="11" spans="1:23" ht="15.75">
      <c r="A11" s="125">
        <v>37500</v>
      </c>
      <c r="B11" s="130">
        <v>2.7803</v>
      </c>
      <c r="C11" s="126">
        <v>4.0738</v>
      </c>
      <c r="D11" s="126">
        <v>4.1499</v>
      </c>
      <c r="H11" s="125">
        <v>37500</v>
      </c>
      <c r="I11" s="133">
        <v>0.007467</v>
      </c>
      <c r="J11" s="134">
        <v>0.03351</v>
      </c>
      <c r="K11" s="136">
        <v>0.0181</v>
      </c>
      <c r="L11" s="193">
        <v>0.0833</v>
      </c>
      <c r="Q11" s="125">
        <v>37500</v>
      </c>
      <c r="R11" s="145">
        <f>Podsumowanie!E$6</f>
        <v>0.012</v>
      </c>
      <c r="V11" s="125">
        <v>37500</v>
      </c>
      <c r="W11" s="223">
        <v>0.9603</v>
      </c>
    </row>
    <row r="12" spans="1:23" ht="15.75">
      <c r="A12" s="125">
        <v>37530</v>
      </c>
      <c r="B12" s="130">
        <v>2.7613</v>
      </c>
      <c r="C12" s="126">
        <v>4.0454</v>
      </c>
      <c r="D12" s="126">
        <v>4.123</v>
      </c>
      <c r="H12" s="125">
        <v>37530</v>
      </c>
      <c r="I12" s="133">
        <v>0.007333</v>
      </c>
      <c r="J12" s="134">
        <v>0.03279</v>
      </c>
      <c r="K12" s="136">
        <v>0.0176</v>
      </c>
      <c r="L12" s="193">
        <v>0.0768</v>
      </c>
      <c r="Q12" s="125">
        <v>37530</v>
      </c>
      <c r="R12" s="145">
        <f>Podsumowanie!E$6</f>
        <v>0.012</v>
      </c>
      <c r="V12" s="125">
        <v>37530</v>
      </c>
      <c r="W12" s="223">
        <v>0.9544</v>
      </c>
    </row>
    <row r="13" spans="1:23" ht="15.75">
      <c r="A13" s="125">
        <v>37561</v>
      </c>
      <c r="B13" s="130">
        <v>2.6983</v>
      </c>
      <c r="C13" s="126">
        <v>3.9593</v>
      </c>
      <c r="D13" s="126">
        <v>3.9557</v>
      </c>
      <c r="H13" s="125">
        <v>37561</v>
      </c>
      <c r="I13" s="133">
        <v>0.007367</v>
      </c>
      <c r="J13" s="134">
        <v>0.03236</v>
      </c>
      <c r="K13" s="136">
        <v>0.0166</v>
      </c>
      <c r="L13" s="193">
        <v>0.0703</v>
      </c>
      <c r="Q13" s="125">
        <v>37561</v>
      </c>
      <c r="R13" s="145">
        <f>Podsumowanie!E$6</f>
        <v>0.012</v>
      </c>
      <c r="V13" s="125">
        <v>37561</v>
      </c>
      <c r="W13" s="223">
        <v>0.9564</v>
      </c>
    </row>
    <row r="14" spans="1:23" ht="15.75">
      <c r="A14" s="125">
        <v>37591</v>
      </c>
      <c r="B14" s="130">
        <v>2.7182</v>
      </c>
      <c r="C14" s="126">
        <v>3.9876</v>
      </c>
      <c r="D14" s="126">
        <v>3.9114</v>
      </c>
      <c r="H14" s="125">
        <v>37591</v>
      </c>
      <c r="I14" s="133">
        <v>0.007433</v>
      </c>
      <c r="J14" s="134">
        <v>0.03036</v>
      </c>
      <c r="K14" s="136">
        <v>0.0142</v>
      </c>
      <c r="L14" s="193">
        <v>0.067</v>
      </c>
      <c r="Q14" s="125">
        <v>37591</v>
      </c>
      <c r="R14" s="145">
        <f>Podsumowanie!E$6</f>
        <v>0.012</v>
      </c>
      <c r="V14" s="125">
        <v>37591</v>
      </c>
      <c r="W14" s="223">
        <v>0.9544</v>
      </c>
    </row>
    <row r="15" spans="1:23" ht="15.75">
      <c r="A15" s="125">
        <v>37622</v>
      </c>
      <c r="B15" s="130">
        <v>2.7816</v>
      </c>
      <c r="C15" s="126">
        <v>4.0644</v>
      </c>
      <c r="D15" s="126">
        <v>3.8321</v>
      </c>
      <c r="H15" s="125">
        <v>37622</v>
      </c>
      <c r="I15" s="133">
        <v>0.006017</v>
      </c>
      <c r="J15" s="134">
        <v>0.02861</v>
      </c>
      <c r="K15" s="136">
        <v>0.0138</v>
      </c>
      <c r="L15" s="193">
        <v>0.0678</v>
      </c>
      <c r="Q15" s="125">
        <v>37622</v>
      </c>
      <c r="R15" s="145">
        <f>Podsumowanie!E$6</f>
        <v>0.012</v>
      </c>
      <c r="V15" s="125">
        <v>37622</v>
      </c>
      <c r="W15" s="223">
        <v>0.9467</v>
      </c>
    </row>
    <row r="16" spans="1:23" ht="15.75">
      <c r="A16" s="125">
        <v>37653</v>
      </c>
      <c r="B16" s="130">
        <v>2.8381</v>
      </c>
      <c r="C16" s="126">
        <v>4.1645</v>
      </c>
      <c r="D16" s="126">
        <v>3.8626</v>
      </c>
      <c r="H16" s="125">
        <v>37653</v>
      </c>
      <c r="I16" s="133">
        <v>0.006067</v>
      </c>
      <c r="J16" s="134">
        <v>0.02807</v>
      </c>
      <c r="K16" s="136">
        <v>0.0135</v>
      </c>
      <c r="L16" s="193">
        <v>0.0644</v>
      </c>
      <c r="Q16" s="125">
        <v>37653</v>
      </c>
      <c r="R16" s="145">
        <f>Podsumowanie!E$6</f>
        <v>0.012</v>
      </c>
      <c r="V16" s="125">
        <v>37653</v>
      </c>
      <c r="W16" s="223">
        <v>0.9447</v>
      </c>
    </row>
    <row r="17" spans="1:23" ht="15.75">
      <c r="A17" s="125">
        <v>37681</v>
      </c>
      <c r="B17" s="130">
        <v>2.9426</v>
      </c>
      <c r="C17" s="126">
        <v>4.3227</v>
      </c>
      <c r="D17" s="126">
        <v>4.0033</v>
      </c>
      <c r="H17" s="125">
        <v>37681</v>
      </c>
      <c r="I17" s="133">
        <v>0.005733</v>
      </c>
      <c r="J17" s="134">
        <v>0.02503</v>
      </c>
      <c r="K17" s="136">
        <v>0.0134</v>
      </c>
      <c r="L17" s="193">
        <v>0.0628</v>
      </c>
      <c r="Q17" s="125">
        <v>37681</v>
      </c>
      <c r="R17" s="145">
        <f>Podsumowanie!E$6</f>
        <v>0.012</v>
      </c>
      <c r="V17" s="125">
        <v>37681</v>
      </c>
      <c r="W17" s="223">
        <v>0.9389</v>
      </c>
    </row>
    <row r="18" spans="1:23" ht="15.75">
      <c r="A18" s="125">
        <v>37712</v>
      </c>
      <c r="B18" s="130">
        <v>2.8726</v>
      </c>
      <c r="C18" s="126">
        <v>4.2985</v>
      </c>
      <c r="D18" s="126">
        <v>3.961</v>
      </c>
      <c r="H18" s="125">
        <v>37712</v>
      </c>
      <c r="I18" s="133">
        <v>0.0031</v>
      </c>
      <c r="J18" s="134">
        <v>0.02514</v>
      </c>
      <c r="K18" s="136">
        <v>0.0128</v>
      </c>
      <c r="L18" s="193">
        <v>0.0597</v>
      </c>
      <c r="Q18" s="125">
        <v>37712</v>
      </c>
      <c r="R18" s="145">
        <f>Podsumowanie!E$6</f>
        <v>0.012</v>
      </c>
      <c r="V18" s="125">
        <v>37712</v>
      </c>
      <c r="W18" s="223">
        <v>0.935</v>
      </c>
    </row>
    <row r="19" spans="1:23" ht="15.75">
      <c r="A19" s="125">
        <v>37742</v>
      </c>
      <c r="B19" s="130">
        <v>2.8555</v>
      </c>
      <c r="C19" s="126">
        <v>4.326</v>
      </c>
      <c r="D19" s="126">
        <v>3.7482</v>
      </c>
      <c r="H19" s="125">
        <v>37742</v>
      </c>
      <c r="I19" s="133">
        <v>0.003</v>
      </c>
      <c r="J19" s="134">
        <v>0.02504</v>
      </c>
      <c r="K19" s="136">
        <v>0.013</v>
      </c>
      <c r="L19" s="193">
        <v>0.057</v>
      </c>
      <c r="Q19" s="125">
        <v>37742</v>
      </c>
      <c r="R19" s="145">
        <f>Podsumowanie!E$6</f>
        <v>0.012</v>
      </c>
      <c r="V19" s="125">
        <v>37742</v>
      </c>
      <c r="W19" s="223">
        <v>0.935</v>
      </c>
    </row>
    <row r="20" spans="1:23" ht="15.75">
      <c r="A20" s="125">
        <v>37773</v>
      </c>
      <c r="B20" s="130">
        <v>2.8789</v>
      </c>
      <c r="C20" s="126">
        <v>4.4361</v>
      </c>
      <c r="D20" s="126">
        <v>3.7966</v>
      </c>
      <c r="H20" s="125">
        <v>37773</v>
      </c>
      <c r="I20" s="133">
        <v>0.0029</v>
      </c>
      <c r="J20" s="134">
        <v>0.02258</v>
      </c>
      <c r="K20" s="136">
        <v>0.0128</v>
      </c>
      <c r="L20" s="193">
        <v>0.054</v>
      </c>
      <c r="Q20" s="125">
        <v>37773</v>
      </c>
      <c r="R20" s="145">
        <f>Podsumowanie!E$6</f>
        <v>0.012</v>
      </c>
      <c r="V20" s="125">
        <v>37773</v>
      </c>
      <c r="W20" s="223">
        <v>0.937</v>
      </c>
    </row>
    <row r="21" spans="1:23" ht="15.75">
      <c r="A21" s="125">
        <v>37803</v>
      </c>
      <c r="B21" s="130">
        <v>2.8722</v>
      </c>
      <c r="C21" s="126">
        <v>4.4429</v>
      </c>
      <c r="D21" s="126">
        <v>3.9064</v>
      </c>
      <c r="H21" s="125">
        <v>37803</v>
      </c>
      <c r="I21" s="133">
        <v>0.0028</v>
      </c>
      <c r="J21" s="134">
        <v>0.02145</v>
      </c>
      <c r="K21" s="136">
        <v>0.0111</v>
      </c>
      <c r="L21" s="193">
        <v>0.0529</v>
      </c>
      <c r="Q21" s="125">
        <v>37803</v>
      </c>
      <c r="R21" s="145">
        <f>Podsumowanie!E$6</f>
        <v>0.012</v>
      </c>
      <c r="V21" s="125">
        <v>37803</v>
      </c>
      <c r="W21" s="223">
        <v>0.9447</v>
      </c>
    </row>
    <row r="22" spans="1:23" ht="15.75">
      <c r="A22" s="125">
        <v>37834</v>
      </c>
      <c r="B22" s="130">
        <v>2.8345</v>
      </c>
      <c r="C22" s="126">
        <v>4.3668</v>
      </c>
      <c r="D22" s="126">
        <v>3.9184</v>
      </c>
      <c r="H22" s="125">
        <v>37834</v>
      </c>
      <c r="I22" s="133">
        <v>0.002933</v>
      </c>
      <c r="J22" s="134">
        <v>0.02129</v>
      </c>
      <c r="K22" s="136">
        <v>0.0114</v>
      </c>
      <c r="L22" s="193">
        <v>0.0523</v>
      </c>
      <c r="Q22" s="125">
        <v>37834</v>
      </c>
      <c r="R22" s="145">
        <f>Podsumowanie!E$6</f>
        <v>0.012</v>
      </c>
      <c r="V22" s="125">
        <v>37834</v>
      </c>
      <c r="W22" s="223">
        <v>0.9526</v>
      </c>
    </row>
    <row r="23" spans="1:23" ht="15.75">
      <c r="A23" s="125">
        <v>37865</v>
      </c>
      <c r="B23" s="130">
        <v>2.8863</v>
      </c>
      <c r="C23" s="126">
        <v>4.4669</v>
      </c>
      <c r="D23" s="126">
        <v>3.9815</v>
      </c>
      <c r="H23" s="125">
        <v>37865</v>
      </c>
      <c r="I23" s="133">
        <v>0.002667</v>
      </c>
      <c r="J23" s="134">
        <v>0.02151</v>
      </c>
      <c r="K23" s="136">
        <v>0.0114</v>
      </c>
      <c r="L23" s="193">
        <v>0.0515</v>
      </c>
      <c r="Q23" s="125">
        <v>37865</v>
      </c>
      <c r="R23" s="145">
        <f>Podsumowanie!E$6</f>
        <v>0.012</v>
      </c>
      <c r="V23" s="125">
        <v>37865</v>
      </c>
      <c r="W23" s="223">
        <v>0.9428</v>
      </c>
    </row>
    <row r="24" spans="1:23" ht="15.75">
      <c r="A24" s="125">
        <v>37895</v>
      </c>
      <c r="B24" s="130">
        <v>2.9651</v>
      </c>
      <c r="C24" s="126">
        <v>4.5895</v>
      </c>
      <c r="D24" s="126">
        <v>3.9221</v>
      </c>
      <c r="H24" s="125">
        <v>37895</v>
      </c>
      <c r="I24" s="133">
        <v>0.002433</v>
      </c>
      <c r="J24" s="134">
        <v>0.02121</v>
      </c>
      <c r="K24" s="136">
        <v>0.0115</v>
      </c>
      <c r="L24" s="193">
        <v>0.0527</v>
      </c>
      <c r="Q24" s="125">
        <v>37895</v>
      </c>
      <c r="R24" s="145">
        <f>Podsumowanie!E$6</f>
        <v>0.012</v>
      </c>
      <c r="V24" s="125">
        <v>37895</v>
      </c>
      <c r="W24" s="223">
        <v>0.9312</v>
      </c>
    </row>
    <row r="25" spans="1:23" ht="15.75">
      <c r="A25" s="125">
        <v>37926</v>
      </c>
      <c r="B25" s="130">
        <v>2.9691</v>
      </c>
      <c r="C25" s="126">
        <v>4.6254</v>
      </c>
      <c r="D25" s="126">
        <v>3.9488</v>
      </c>
      <c r="H25" s="125">
        <v>37926</v>
      </c>
      <c r="I25" s="133">
        <v>0.002492</v>
      </c>
      <c r="J25" s="134">
        <v>0.02163</v>
      </c>
      <c r="K25" s="136">
        <v>0.0117</v>
      </c>
      <c r="L25" s="193">
        <v>0.0583</v>
      </c>
      <c r="Q25" s="125">
        <v>37926</v>
      </c>
      <c r="R25" s="145">
        <f>Podsumowanie!E$6</f>
        <v>0.012</v>
      </c>
      <c r="V25" s="125">
        <v>37926</v>
      </c>
      <c r="W25" s="223">
        <v>0.9255</v>
      </c>
    </row>
    <row r="26" spans="1:23" ht="15.75">
      <c r="A26" s="125">
        <v>37956</v>
      </c>
      <c r="B26" s="130">
        <v>2.9924</v>
      </c>
      <c r="C26" s="126">
        <v>4.6547</v>
      </c>
      <c r="D26" s="126">
        <v>3.7879</v>
      </c>
      <c r="H26" s="125">
        <v>37956</v>
      </c>
      <c r="I26" s="133">
        <v>0.002733</v>
      </c>
      <c r="J26" s="134">
        <v>0.0216</v>
      </c>
      <c r="K26" s="136">
        <v>0.0118</v>
      </c>
      <c r="L26" s="193">
        <v>0.0586</v>
      </c>
      <c r="Q26" s="125">
        <v>37956</v>
      </c>
      <c r="R26" s="145">
        <f>Podsumowanie!E$6</f>
        <v>0.012</v>
      </c>
      <c r="V26" s="125">
        <v>37956</v>
      </c>
      <c r="W26" s="223">
        <v>0.9216</v>
      </c>
    </row>
    <row r="27" spans="1:23" ht="15.75">
      <c r="A27" s="124">
        <v>37987</v>
      </c>
      <c r="B27" s="130">
        <v>3.0099</v>
      </c>
      <c r="C27" s="126">
        <v>4.7116</v>
      </c>
      <c r="D27" s="126">
        <v>3.7349</v>
      </c>
      <c r="H27" s="124">
        <v>37987</v>
      </c>
      <c r="I27" s="133">
        <v>0.0026</v>
      </c>
      <c r="J27" s="134">
        <v>0.0212</v>
      </c>
      <c r="K27" s="136">
        <v>0.0115</v>
      </c>
      <c r="L27" s="193">
        <v>0.0552</v>
      </c>
      <c r="Q27" s="124">
        <v>37987</v>
      </c>
      <c r="R27" s="140">
        <v>0.016999999999999994</v>
      </c>
      <c r="S27" s="123" t="s">
        <v>95</v>
      </c>
      <c r="V27" s="124">
        <v>37987</v>
      </c>
      <c r="W27" s="223">
        <v>0.914</v>
      </c>
    </row>
    <row r="28" spans="1:23" ht="15.75">
      <c r="A28" s="124">
        <v>38018</v>
      </c>
      <c r="B28" s="130">
        <v>3.0846</v>
      </c>
      <c r="C28" s="126">
        <v>4.8542</v>
      </c>
      <c r="D28" s="126">
        <v>3.8457</v>
      </c>
      <c r="H28" s="124">
        <v>38018</v>
      </c>
      <c r="I28" s="133">
        <v>0.00245</v>
      </c>
      <c r="J28" s="134">
        <v>0.02091</v>
      </c>
      <c r="K28" s="136">
        <v>0.0113</v>
      </c>
      <c r="L28" s="193">
        <v>0.055</v>
      </c>
      <c r="Q28" s="124">
        <v>38018</v>
      </c>
      <c r="R28" s="140">
        <v>0.017800000000000003</v>
      </c>
      <c r="V28" s="124">
        <v>38018</v>
      </c>
      <c r="W28" s="223">
        <v>0.9121</v>
      </c>
    </row>
    <row r="29" spans="1:23" ht="15.75">
      <c r="A29" s="124">
        <v>38047</v>
      </c>
      <c r="B29" s="130">
        <v>3.0444</v>
      </c>
      <c r="C29" s="126">
        <v>4.7683</v>
      </c>
      <c r="D29" s="126">
        <v>3.8903</v>
      </c>
      <c r="H29" s="124">
        <v>38047</v>
      </c>
      <c r="I29" s="133">
        <v>0.0026</v>
      </c>
      <c r="J29" s="134">
        <v>0.02047</v>
      </c>
      <c r="K29" s="136">
        <v>0.0112</v>
      </c>
      <c r="L29" s="193">
        <v>0.0552</v>
      </c>
      <c r="Q29" s="124">
        <v>38047</v>
      </c>
      <c r="R29" s="140">
        <v>0.018099999999999998</v>
      </c>
      <c r="V29" s="124">
        <v>38047</v>
      </c>
      <c r="W29" s="223">
        <v>0.9063</v>
      </c>
    </row>
    <row r="30" spans="1:23" ht="15.75">
      <c r="A30" s="124">
        <v>38078</v>
      </c>
      <c r="B30" s="130">
        <v>3.0602</v>
      </c>
      <c r="C30" s="126">
        <v>4.7581</v>
      </c>
      <c r="D30" s="126">
        <v>3.9587</v>
      </c>
      <c r="H30" s="124">
        <v>38078</v>
      </c>
      <c r="I30" s="133">
        <v>0.0025</v>
      </c>
      <c r="J30" s="134">
        <v>0.0196</v>
      </c>
      <c r="K30" s="136">
        <v>0.0111</v>
      </c>
      <c r="L30" s="193">
        <v>0.055</v>
      </c>
      <c r="Q30" s="124">
        <v>38078</v>
      </c>
      <c r="R30" s="140">
        <v>0.017800000000000003</v>
      </c>
      <c r="V30" s="124">
        <v>38078</v>
      </c>
      <c r="W30" s="223">
        <v>0.8912</v>
      </c>
    </row>
    <row r="31" spans="1:23" ht="15.75">
      <c r="A31" s="124">
        <v>38108</v>
      </c>
      <c r="B31" s="130">
        <v>3.0695</v>
      </c>
      <c r="C31" s="126">
        <v>4.729</v>
      </c>
      <c r="D31" s="126">
        <v>3.936</v>
      </c>
      <c r="H31" s="124">
        <v>38108</v>
      </c>
      <c r="I31" s="133">
        <v>0.002717</v>
      </c>
      <c r="J31" s="134">
        <v>0.02072</v>
      </c>
      <c r="K31" s="136">
        <v>0.0118</v>
      </c>
      <c r="L31" s="193">
        <v>0.0591</v>
      </c>
      <c r="Q31" s="124">
        <v>38108</v>
      </c>
      <c r="R31" s="140">
        <v>0.015499999999999993</v>
      </c>
      <c r="V31" s="124">
        <v>38108</v>
      </c>
      <c r="W31" s="223">
        <v>0.8725</v>
      </c>
    </row>
    <row r="32" spans="1:23" ht="15.75">
      <c r="A32" s="124">
        <v>38139</v>
      </c>
      <c r="B32" s="130">
        <v>3.0252</v>
      </c>
      <c r="C32" s="126">
        <v>4.5932</v>
      </c>
      <c r="D32" s="126">
        <v>3.7867</v>
      </c>
      <c r="H32" s="124">
        <v>38139</v>
      </c>
      <c r="I32" s="133">
        <v>0.0026</v>
      </c>
      <c r="J32" s="134">
        <v>0.02087</v>
      </c>
      <c r="K32" s="136">
        <v>0.0133</v>
      </c>
      <c r="L32" s="193">
        <v>0.0595</v>
      </c>
      <c r="Q32" s="124">
        <v>38139</v>
      </c>
      <c r="R32" s="140">
        <v>0.017</v>
      </c>
      <c r="V32" s="124">
        <v>38139</v>
      </c>
      <c r="W32" s="223">
        <v>0.8558</v>
      </c>
    </row>
    <row r="33" spans="1:23" ht="15.75">
      <c r="A33" s="124">
        <v>38169</v>
      </c>
      <c r="B33" s="130">
        <v>2.9271</v>
      </c>
      <c r="C33" s="126">
        <v>4.4686</v>
      </c>
      <c r="D33" s="126">
        <v>3.643</v>
      </c>
      <c r="H33" s="124">
        <v>38169</v>
      </c>
      <c r="I33" s="133">
        <v>0.004967</v>
      </c>
      <c r="J33" s="134">
        <v>0.02116</v>
      </c>
      <c r="K33" s="136">
        <v>0.016</v>
      </c>
      <c r="L33" s="193">
        <v>0.0618</v>
      </c>
      <c r="Q33" s="124">
        <v>38169</v>
      </c>
      <c r="R33" s="140">
        <v>0.016200000000000006</v>
      </c>
      <c r="V33" s="124">
        <v>38169</v>
      </c>
      <c r="W33" s="223">
        <v>0.8576</v>
      </c>
    </row>
    <row r="34" spans="1:23" ht="15.75">
      <c r="A34" s="124">
        <v>38200</v>
      </c>
      <c r="B34" s="130">
        <v>2.8836</v>
      </c>
      <c r="C34" s="126">
        <v>4.4355</v>
      </c>
      <c r="D34" s="126">
        <v>3.6434</v>
      </c>
      <c r="H34" s="124">
        <v>38200</v>
      </c>
      <c r="I34" s="133">
        <v>0.005333</v>
      </c>
      <c r="J34" s="134">
        <v>0.02115</v>
      </c>
      <c r="K34" s="136">
        <v>0.0169</v>
      </c>
      <c r="L34" s="193">
        <v>0.0641</v>
      </c>
      <c r="Q34" s="124">
        <v>38200</v>
      </c>
      <c r="R34" s="140">
        <v>0.016</v>
      </c>
      <c r="V34" s="124">
        <v>38200</v>
      </c>
      <c r="W34" s="223">
        <v>0.8651</v>
      </c>
    </row>
    <row r="35" spans="1:23" ht="15.75">
      <c r="A35" s="124">
        <v>38231</v>
      </c>
      <c r="B35" s="130">
        <v>2.8365</v>
      </c>
      <c r="C35" s="126">
        <v>4.3764</v>
      </c>
      <c r="D35" s="126">
        <v>3.5827</v>
      </c>
      <c r="H35" s="124">
        <v>38231</v>
      </c>
      <c r="I35" s="133">
        <v>0.00645</v>
      </c>
      <c r="J35" s="134">
        <v>0.02115</v>
      </c>
      <c r="K35" s="136">
        <v>0.018</v>
      </c>
      <c r="L35" s="193">
        <v>0.0709</v>
      </c>
      <c r="Q35" s="124">
        <v>38231</v>
      </c>
      <c r="R35" s="140">
        <v>0.012399999999999994</v>
      </c>
      <c r="V35" s="124">
        <v>38231</v>
      </c>
      <c r="W35" s="223">
        <v>0.8595</v>
      </c>
    </row>
    <row r="36" spans="1:23" ht="15.75">
      <c r="A36" s="124">
        <v>38261</v>
      </c>
      <c r="B36" s="130">
        <v>2.8032</v>
      </c>
      <c r="C36" s="126">
        <v>4.3235</v>
      </c>
      <c r="D36" s="126">
        <v>3.4602</v>
      </c>
      <c r="H36" s="124">
        <v>38261</v>
      </c>
      <c r="I36" s="133">
        <v>0.007</v>
      </c>
      <c r="J36" s="134">
        <v>0.02148</v>
      </c>
      <c r="K36" s="136">
        <v>0.0203</v>
      </c>
      <c r="L36" s="193">
        <v>0.0692</v>
      </c>
      <c r="Q36" s="124">
        <v>38261</v>
      </c>
      <c r="R36" s="140">
        <v>0.017799999999999996</v>
      </c>
      <c r="V36" s="124">
        <v>38261</v>
      </c>
      <c r="W36" s="223">
        <v>0.8484</v>
      </c>
    </row>
    <row r="37" spans="1:23" ht="15.75">
      <c r="A37" s="124">
        <v>38292</v>
      </c>
      <c r="B37" s="130">
        <v>2.8008</v>
      </c>
      <c r="C37" s="126">
        <v>4.262</v>
      </c>
      <c r="D37" s="126">
        <v>3.283</v>
      </c>
      <c r="H37" s="124">
        <v>38292</v>
      </c>
      <c r="I37" s="133">
        <v>0.007283</v>
      </c>
      <c r="J37" s="134">
        <v>0.02152</v>
      </c>
      <c r="K37" s="136">
        <v>0.0218</v>
      </c>
      <c r="L37" s="193">
        <v>0.0684</v>
      </c>
      <c r="Q37" s="124">
        <v>38292</v>
      </c>
      <c r="R37" s="140">
        <v>0.018500000000000003</v>
      </c>
      <c r="V37" s="124">
        <v>38292</v>
      </c>
      <c r="W37" s="223">
        <v>0.8429</v>
      </c>
    </row>
    <row r="38" spans="1:23" ht="15.75">
      <c r="A38" s="124">
        <v>38322</v>
      </c>
      <c r="B38" s="130">
        <v>2.6987</v>
      </c>
      <c r="C38" s="126">
        <v>4.1438</v>
      </c>
      <c r="D38" s="126">
        <v>3.0954</v>
      </c>
      <c r="H38" s="124">
        <v>38322</v>
      </c>
      <c r="I38" s="133">
        <v>0.0073</v>
      </c>
      <c r="J38" s="134">
        <v>0.02174</v>
      </c>
      <c r="K38" s="136">
        <v>0.0242</v>
      </c>
      <c r="L38" s="193">
        <v>0.0676</v>
      </c>
      <c r="Q38" s="124">
        <v>38322</v>
      </c>
      <c r="R38" s="141">
        <v>0.0179</v>
      </c>
      <c r="V38" s="124">
        <v>38322</v>
      </c>
      <c r="W38" s="223">
        <v>0.8411</v>
      </c>
    </row>
    <row r="39" spans="1:23" ht="15.75">
      <c r="A39" s="124">
        <v>38353</v>
      </c>
      <c r="B39" s="130">
        <v>2.639</v>
      </c>
      <c r="C39" s="130">
        <v>4.0816</v>
      </c>
      <c r="D39" s="126">
        <v>3.1033</v>
      </c>
      <c r="H39" s="124">
        <v>38353</v>
      </c>
      <c r="I39" s="133">
        <v>0.0071</v>
      </c>
      <c r="J39" s="133">
        <v>0.02151</v>
      </c>
      <c r="K39" s="136">
        <v>0.0257</v>
      </c>
      <c r="L39" s="193">
        <v>0.0663</v>
      </c>
      <c r="Q39" s="124">
        <v>38353</v>
      </c>
      <c r="R39" s="140">
        <v>0.017600000000000005</v>
      </c>
      <c r="V39" s="124">
        <v>38353</v>
      </c>
      <c r="W39" s="223">
        <v>0.8392</v>
      </c>
    </row>
    <row r="40" spans="1:23" ht="15.75">
      <c r="A40" s="124">
        <v>38384</v>
      </c>
      <c r="B40" s="130">
        <v>2.5698</v>
      </c>
      <c r="C40" s="130">
        <v>3.9841</v>
      </c>
      <c r="D40" s="126">
        <v>3.0601</v>
      </c>
      <c r="H40" s="124">
        <v>38384</v>
      </c>
      <c r="I40" s="133">
        <v>0.0075</v>
      </c>
      <c r="J40" s="133">
        <v>0.02142</v>
      </c>
      <c r="K40" s="136">
        <v>0.0275</v>
      </c>
      <c r="L40" s="193">
        <v>0.0654</v>
      </c>
      <c r="Q40" s="124">
        <v>38384</v>
      </c>
      <c r="R40" s="140">
        <v>0.016700000000000007</v>
      </c>
      <c r="V40" s="124">
        <v>38384</v>
      </c>
      <c r="W40" s="223">
        <v>0.8411</v>
      </c>
    </row>
    <row r="41" spans="1:23" ht="15.75">
      <c r="A41" s="124">
        <v>38412</v>
      </c>
      <c r="B41" s="130">
        <v>2.5945</v>
      </c>
      <c r="C41" s="130">
        <v>4.0209</v>
      </c>
      <c r="D41" s="126">
        <v>3.0492</v>
      </c>
      <c r="H41" s="124">
        <v>38412</v>
      </c>
      <c r="I41" s="133">
        <v>0.007583</v>
      </c>
      <c r="J41" s="133">
        <v>0.02136</v>
      </c>
      <c r="K41" s="136">
        <v>0.0293</v>
      </c>
      <c r="L41" s="193">
        <v>0.0615</v>
      </c>
      <c r="Q41" s="124">
        <v>38412</v>
      </c>
      <c r="R41" s="140">
        <v>0.020600000000000007</v>
      </c>
      <c r="V41" s="124">
        <v>38412</v>
      </c>
      <c r="W41" s="223">
        <v>0.8392</v>
      </c>
    </row>
    <row r="42" spans="1:23" ht="15.75">
      <c r="A42" s="124">
        <v>38443</v>
      </c>
      <c r="B42" s="130">
        <v>2.6821</v>
      </c>
      <c r="C42" s="130">
        <v>4.151</v>
      </c>
      <c r="D42" s="126">
        <v>3.2053</v>
      </c>
      <c r="H42" s="124">
        <v>38443</v>
      </c>
      <c r="I42" s="133">
        <v>0.0077</v>
      </c>
      <c r="J42" s="133">
        <v>0.02147</v>
      </c>
      <c r="K42" s="136">
        <v>0.0312</v>
      </c>
      <c r="L42" s="193">
        <v>0.0578</v>
      </c>
      <c r="Q42" s="124">
        <v>38443</v>
      </c>
      <c r="R42" s="140">
        <v>0.016900000000000005</v>
      </c>
      <c r="V42" s="124">
        <v>38443</v>
      </c>
      <c r="W42" s="223">
        <v>0.8319</v>
      </c>
    </row>
    <row r="43" spans="1:23" ht="15.75">
      <c r="A43" s="124">
        <v>38473</v>
      </c>
      <c r="B43" s="130">
        <v>2.7075</v>
      </c>
      <c r="C43" s="130">
        <v>4.1827</v>
      </c>
      <c r="D43" s="126">
        <v>3.2909</v>
      </c>
      <c r="H43" s="124">
        <v>38473</v>
      </c>
      <c r="I43" s="133">
        <v>0.0076</v>
      </c>
      <c r="J43" s="133">
        <v>0.02126</v>
      </c>
      <c r="K43" s="136">
        <v>0.0322</v>
      </c>
      <c r="L43" s="193">
        <v>0.0548</v>
      </c>
      <c r="Q43" s="124">
        <v>38473</v>
      </c>
      <c r="R43" s="140">
        <v>0.0218</v>
      </c>
      <c r="V43" s="124">
        <v>38473</v>
      </c>
      <c r="W43" s="223">
        <v>0.8264</v>
      </c>
    </row>
    <row r="44" spans="1:23" ht="15.75">
      <c r="A44" s="124">
        <v>38504</v>
      </c>
      <c r="B44" s="130">
        <v>2.6396</v>
      </c>
      <c r="C44" s="130">
        <v>4.0603</v>
      </c>
      <c r="D44" s="126">
        <v>3.3365</v>
      </c>
      <c r="H44" s="124">
        <v>38504</v>
      </c>
      <c r="I44" s="133">
        <v>0.0075</v>
      </c>
      <c r="J44" s="133">
        <v>0.02124</v>
      </c>
      <c r="K44" s="136">
        <v>0.0335</v>
      </c>
      <c r="L44" s="193">
        <v>0.0522</v>
      </c>
      <c r="Q44" s="124">
        <v>38504</v>
      </c>
      <c r="R44" s="140">
        <v>0.01589999999999999</v>
      </c>
      <c r="V44" s="124">
        <v>38504</v>
      </c>
      <c r="W44" s="223">
        <v>0.8301</v>
      </c>
    </row>
    <row r="45" spans="1:23" ht="15.75">
      <c r="A45" s="124">
        <v>38534</v>
      </c>
      <c r="B45" s="130">
        <v>2.6297</v>
      </c>
      <c r="C45" s="130">
        <v>4.0973</v>
      </c>
      <c r="D45" s="126">
        <v>3.3992</v>
      </c>
      <c r="H45" s="124">
        <v>38534</v>
      </c>
      <c r="I45" s="133">
        <v>0.007467</v>
      </c>
      <c r="J45" s="133">
        <v>0.02107</v>
      </c>
      <c r="K45" s="136">
        <v>0.0353</v>
      </c>
      <c r="L45" s="193">
        <v>0.0468</v>
      </c>
      <c r="Q45" s="124">
        <v>38534</v>
      </c>
      <c r="R45" s="140">
        <v>0.0177</v>
      </c>
      <c r="V45" s="124">
        <v>38534</v>
      </c>
      <c r="W45" s="223">
        <v>0.8337</v>
      </c>
    </row>
    <row r="46" spans="1:23" ht="15.75">
      <c r="A46" s="124">
        <v>38565</v>
      </c>
      <c r="B46" s="130">
        <v>2.6048</v>
      </c>
      <c r="C46" s="130">
        <v>4.045</v>
      </c>
      <c r="D46" s="126">
        <v>3.2871</v>
      </c>
      <c r="H46" s="124">
        <v>38565</v>
      </c>
      <c r="I46" s="133">
        <v>0.007567</v>
      </c>
      <c r="J46" s="133">
        <v>0.02126</v>
      </c>
      <c r="K46" s="136">
        <v>0.0371</v>
      </c>
      <c r="L46" s="193">
        <v>0.0467</v>
      </c>
      <c r="Q46" s="124">
        <v>38565</v>
      </c>
      <c r="R46" s="140">
        <v>0.0182</v>
      </c>
      <c r="V46" s="124">
        <v>38565</v>
      </c>
      <c r="W46" s="223">
        <v>0.8356</v>
      </c>
    </row>
    <row r="47" spans="1:23" ht="15.75">
      <c r="A47" s="124">
        <v>38596</v>
      </c>
      <c r="B47" s="131">
        <v>2.5338</v>
      </c>
      <c r="C47" s="131">
        <v>3.9247</v>
      </c>
      <c r="D47" s="126">
        <v>3.1952</v>
      </c>
      <c r="H47" s="124">
        <v>38596</v>
      </c>
      <c r="I47" s="133">
        <v>0.0076</v>
      </c>
      <c r="J47" s="133">
        <v>0.02133</v>
      </c>
      <c r="K47" s="136">
        <v>0.0386</v>
      </c>
      <c r="L47" s="193">
        <v>0.0451</v>
      </c>
      <c r="Q47" s="124">
        <v>38596</v>
      </c>
      <c r="R47" s="140">
        <v>0.0167</v>
      </c>
      <c r="V47" s="124">
        <v>38596</v>
      </c>
      <c r="W47" s="223">
        <v>0.8283</v>
      </c>
    </row>
    <row r="48" spans="1:23" ht="15.75">
      <c r="A48" s="124">
        <v>38626</v>
      </c>
      <c r="B48" s="130">
        <v>2.5343</v>
      </c>
      <c r="C48" s="130">
        <v>3.9261</v>
      </c>
      <c r="D48" s="126">
        <v>3.26</v>
      </c>
      <c r="H48" s="124">
        <v>38626</v>
      </c>
      <c r="I48" s="133">
        <v>0.007983</v>
      </c>
      <c r="J48" s="133">
        <v>0.02178</v>
      </c>
      <c r="K48" s="136">
        <v>0.0408</v>
      </c>
      <c r="L48" s="193">
        <v>0.0455</v>
      </c>
      <c r="Q48" s="124">
        <v>38626</v>
      </c>
      <c r="R48" s="140">
        <v>0.017600000000000005</v>
      </c>
      <c r="V48" s="124">
        <v>38626</v>
      </c>
      <c r="W48" s="223">
        <v>0.821</v>
      </c>
    </row>
    <row r="49" spans="1:23" ht="15.75">
      <c r="A49" s="124">
        <v>38657</v>
      </c>
      <c r="B49" s="130">
        <v>2.5703</v>
      </c>
      <c r="C49" s="130">
        <v>3.9721</v>
      </c>
      <c r="D49" s="126">
        <v>3.3672</v>
      </c>
      <c r="H49" s="124">
        <v>38657</v>
      </c>
      <c r="I49" s="133">
        <v>0.0087</v>
      </c>
      <c r="J49" s="133">
        <v>0.02264</v>
      </c>
      <c r="K49" s="136">
        <v>0.0426</v>
      </c>
      <c r="L49" s="193">
        <v>0.0464</v>
      </c>
      <c r="Q49" s="124">
        <v>38657</v>
      </c>
      <c r="R49" s="140">
        <v>0.015300000000000001</v>
      </c>
      <c r="V49" s="124">
        <v>38657</v>
      </c>
      <c r="W49" s="223">
        <v>0.8246</v>
      </c>
    </row>
    <row r="50" spans="1:23" ht="15.75">
      <c r="A50" s="124">
        <v>38687</v>
      </c>
      <c r="B50" s="130">
        <v>2.4909</v>
      </c>
      <c r="C50" s="130">
        <v>3.8559</v>
      </c>
      <c r="D50" s="126">
        <v>3.2518</v>
      </c>
      <c r="H50" s="124">
        <v>38687</v>
      </c>
      <c r="I50" s="133">
        <v>0.010417</v>
      </c>
      <c r="J50" s="133">
        <v>0.02474</v>
      </c>
      <c r="K50" s="136">
        <v>0.0444</v>
      </c>
      <c r="L50" s="193">
        <v>0.0462</v>
      </c>
      <c r="Q50" s="124">
        <v>38687</v>
      </c>
      <c r="R50" s="140">
        <v>0.0167</v>
      </c>
      <c r="V50" s="124">
        <v>38687</v>
      </c>
      <c r="W50" s="223">
        <v>0.8283</v>
      </c>
    </row>
    <row r="51" spans="1:23" ht="15.75">
      <c r="A51" s="124">
        <v>38718</v>
      </c>
      <c r="B51" s="130">
        <v>2.4678</v>
      </c>
      <c r="C51" s="130">
        <v>3.8245</v>
      </c>
      <c r="D51" s="126">
        <v>3.1599</v>
      </c>
      <c r="H51" s="124">
        <v>38718</v>
      </c>
      <c r="I51" s="133">
        <v>0.0101</v>
      </c>
      <c r="J51" s="133">
        <v>0.02488</v>
      </c>
      <c r="K51" s="136">
        <v>0.0454</v>
      </c>
      <c r="L51" s="193">
        <v>0.0449</v>
      </c>
      <c r="Q51" s="124">
        <v>38718</v>
      </c>
      <c r="R51" s="140">
        <v>0.016399999999999998</v>
      </c>
      <c r="V51" s="124">
        <v>38718</v>
      </c>
      <c r="W51" s="223">
        <v>0.8246</v>
      </c>
    </row>
    <row r="52" spans="1:23" ht="15.75">
      <c r="A52" s="124">
        <v>38749</v>
      </c>
      <c r="B52" s="130">
        <v>2.4352</v>
      </c>
      <c r="C52" s="130">
        <v>3.7937</v>
      </c>
      <c r="D52" s="126">
        <v>3.1744</v>
      </c>
      <c r="H52" s="124">
        <v>38749</v>
      </c>
      <c r="I52" s="133">
        <v>0.0109</v>
      </c>
      <c r="J52" s="133">
        <v>0.02554</v>
      </c>
      <c r="K52" s="136">
        <v>0.0469</v>
      </c>
      <c r="L52" s="193">
        <v>0.0426</v>
      </c>
      <c r="Q52" s="124">
        <v>38749</v>
      </c>
      <c r="R52" s="140">
        <v>0.016399999999999998</v>
      </c>
      <c r="V52" s="124">
        <v>38749</v>
      </c>
      <c r="W52" s="223">
        <v>0.8246</v>
      </c>
    </row>
    <row r="53" spans="1:23" ht="15.75">
      <c r="A53" s="124">
        <v>38777</v>
      </c>
      <c r="B53" s="130">
        <v>2.4696</v>
      </c>
      <c r="C53" s="130">
        <v>3.8748</v>
      </c>
      <c r="D53" s="126">
        <v>3.2229</v>
      </c>
      <c r="H53" s="124">
        <v>38777</v>
      </c>
      <c r="I53" s="133">
        <v>0.0121</v>
      </c>
      <c r="J53" s="133">
        <v>0.02666</v>
      </c>
      <c r="K53" s="136">
        <v>0.0483</v>
      </c>
      <c r="L53" s="193">
        <v>0.0412</v>
      </c>
      <c r="Q53" s="124">
        <v>38777</v>
      </c>
      <c r="R53" s="142">
        <v>0.016800000000000002</v>
      </c>
      <c r="V53" s="124">
        <v>38777</v>
      </c>
      <c r="W53" s="223">
        <v>0.8265</v>
      </c>
    </row>
    <row r="54" spans="1:23" ht="15.75">
      <c r="A54" s="124">
        <v>38808</v>
      </c>
      <c r="B54" s="130">
        <v>2.4886</v>
      </c>
      <c r="C54" s="130">
        <v>3.9194</v>
      </c>
      <c r="D54" s="126">
        <v>3.1982</v>
      </c>
      <c r="H54" s="124">
        <v>38808</v>
      </c>
      <c r="I54" s="133">
        <v>0.0128</v>
      </c>
      <c r="J54" s="133">
        <v>0.02818</v>
      </c>
      <c r="K54" s="136">
        <v>0.05</v>
      </c>
      <c r="L54" s="193">
        <v>0.0414</v>
      </c>
      <c r="Q54" s="124">
        <v>38808</v>
      </c>
      <c r="R54" s="142">
        <v>0.0155</v>
      </c>
      <c r="V54" s="124">
        <v>38808</v>
      </c>
      <c r="W54" s="223">
        <v>0.8138</v>
      </c>
    </row>
    <row r="55" spans="1:23" ht="15.75">
      <c r="A55" s="124">
        <v>38838</v>
      </c>
      <c r="B55" s="131">
        <v>2.501</v>
      </c>
      <c r="C55" s="131">
        <v>3.8941</v>
      </c>
      <c r="D55" s="126">
        <v>3.0491</v>
      </c>
      <c r="H55" s="124">
        <v>38838</v>
      </c>
      <c r="I55" s="133">
        <v>0.0141</v>
      </c>
      <c r="J55" s="133">
        <v>0.0286</v>
      </c>
      <c r="K55" s="136">
        <v>0.0515</v>
      </c>
      <c r="L55" s="193">
        <v>0.0415</v>
      </c>
      <c r="Q55" s="124">
        <v>38838</v>
      </c>
      <c r="R55" s="142">
        <v>0.015099999999999995</v>
      </c>
      <c r="V55" s="124">
        <v>38838</v>
      </c>
      <c r="W55" s="223">
        <v>0.8047</v>
      </c>
    </row>
    <row r="56" spans="1:23" ht="15.75">
      <c r="A56" s="124">
        <v>38869</v>
      </c>
      <c r="B56" s="130">
        <v>2.5742</v>
      </c>
      <c r="C56" s="130">
        <v>4.0164</v>
      </c>
      <c r="D56" s="126">
        <v>3.1713</v>
      </c>
      <c r="H56" s="124">
        <v>38869</v>
      </c>
      <c r="I56" s="133">
        <v>0.0148</v>
      </c>
      <c r="J56" s="133">
        <v>0.02944</v>
      </c>
      <c r="K56" s="136">
        <v>0.0527</v>
      </c>
      <c r="L56" s="193">
        <v>0.0417</v>
      </c>
      <c r="Q56" s="124">
        <v>38869</v>
      </c>
      <c r="R56" s="142">
        <v>0.015100000000000002</v>
      </c>
      <c r="V56" s="124">
        <v>38869</v>
      </c>
      <c r="W56" s="223">
        <v>0.8102</v>
      </c>
    </row>
    <row r="57" spans="1:23" ht="15.75">
      <c r="A57" s="124">
        <v>38899</v>
      </c>
      <c r="B57" s="131">
        <v>2.5482</v>
      </c>
      <c r="C57" s="131">
        <v>3.997</v>
      </c>
      <c r="D57" s="126">
        <v>3.1492</v>
      </c>
      <c r="H57" s="124">
        <v>38899</v>
      </c>
      <c r="I57" s="133">
        <v>0.0153</v>
      </c>
      <c r="J57" s="133">
        <v>0.03055</v>
      </c>
      <c r="K57" s="136">
        <v>0.0548</v>
      </c>
      <c r="L57" s="193">
        <v>0.0419</v>
      </c>
      <c r="Q57" s="124">
        <v>38899</v>
      </c>
      <c r="R57" s="142">
        <v>0.015499999999999993</v>
      </c>
      <c r="V57" s="124">
        <v>38899</v>
      </c>
      <c r="W57" s="223">
        <v>0.8102</v>
      </c>
    </row>
    <row r="58" spans="1:23" ht="15.75">
      <c r="A58" s="124">
        <v>38930</v>
      </c>
      <c r="B58" s="130">
        <v>2.4725</v>
      </c>
      <c r="C58" s="130">
        <v>3.9014</v>
      </c>
      <c r="D58" s="126">
        <v>3.0454</v>
      </c>
      <c r="H58" s="124">
        <v>38930</v>
      </c>
      <c r="I58" s="133">
        <v>0.0161</v>
      </c>
      <c r="J58" s="133">
        <v>0.0317</v>
      </c>
      <c r="K58" s="136">
        <v>0.0547</v>
      </c>
      <c r="L58" s="193">
        <v>0.0419</v>
      </c>
      <c r="Q58" s="124">
        <v>38930</v>
      </c>
      <c r="R58" s="142">
        <v>0.015599999999999996</v>
      </c>
      <c r="V58" s="124">
        <v>38930</v>
      </c>
      <c r="W58" s="223">
        <v>0.8048</v>
      </c>
    </row>
    <row r="59" spans="1:23" ht="15.75">
      <c r="A59" s="124">
        <v>38961</v>
      </c>
      <c r="B59" s="131">
        <v>2.5062</v>
      </c>
      <c r="C59" s="131">
        <v>3.9702</v>
      </c>
      <c r="D59" s="126">
        <v>3.1153</v>
      </c>
      <c r="H59" s="124">
        <v>38961</v>
      </c>
      <c r="I59" s="133">
        <v>0.0167</v>
      </c>
      <c r="J59" s="133">
        <v>0.03267</v>
      </c>
      <c r="K59" s="136">
        <v>0.0539</v>
      </c>
      <c r="L59" s="193">
        <v>0.0421</v>
      </c>
      <c r="Q59" s="124">
        <v>38961</v>
      </c>
      <c r="R59" s="142">
        <v>0.015</v>
      </c>
      <c r="V59" s="124">
        <v>38961</v>
      </c>
      <c r="W59" s="223">
        <v>0.8012</v>
      </c>
    </row>
    <row r="60" spans="1:23" ht="15.75">
      <c r="A60" s="124">
        <v>38991</v>
      </c>
      <c r="B60" s="130">
        <v>2.4547</v>
      </c>
      <c r="C60" s="130">
        <v>3.9026</v>
      </c>
      <c r="D60" s="126">
        <v>3.0919</v>
      </c>
      <c r="H60" s="124">
        <v>38991</v>
      </c>
      <c r="I60" s="133">
        <v>0.0181</v>
      </c>
      <c r="J60" s="133">
        <v>0.03424</v>
      </c>
      <c r="K60" s="136">
        <v>0.0537</v>
      </c>
      <c r="L60" s="193">
        <v>0.0422</v>
      </c>
      <c r="Q60" s="124">
        <v>38991</v>
      </c>
      <c r="R60" s="142">
        <v>0.014200000000000004</v>
      </c>
      <c r="V60" s="124">
        <v>38991</v>
      </c>
      <c r="W60" s="223">
        <v>0.7994</v>
      </c>
    </row>
    <row r="61" spans="1:23" ht="15.75">
      <c r="A61" s="124">
        <v>39022</v>
      </c>
      <c r="B61" s="130">
        <v>2.4055</v>
      </c>
      <c r="C61" s="130">
        <v>3.8299</v>
      </c>
      <c r="D61" s="126">
        <v>2.9735</v>
      </c>
      <c r="H61" s="124">
        <v>39022</v>
      </c>
      <c r="I61" s="133">
        <v>0.0181</v>
      </c>
      <c r="J61" s="133">
        <v>0.03563</v>
      </c>
      <c r="K61" s="136">
        <v>0.0537</v>
      </c>
      <c r="L61" s="193">
        <v>0.042</v>
      </c>
      <c r="Q61" s="124">
        <v>39022</v>
      </c>
      <c r="R61" s="142">
        <v>0.014399999999999996</v>
      </c>
      <c r="V61" s="124">
        <v>39022</v>
      </c>
      <c r="W61" s="223">
        <v>0.7994</v>
      </c>
    </row>
    <row r="62" spans="1:23" ht="15.75">
      <c r="A62" s="124">
        <v>39052</v>
      </c>
      <c r="B62" s="130">
        <v>2.3874</v>
      </c>
      <c r="C62" s="130">
        <v>3.813</v>
      </c>
      <c r="D62" s="126">
        <v>2.8868</v>
      </c>
      <c r="H62" s="124">
        <v>39052</v>
      </c>
      <c r="I62" s="133">
        <v>0.0194</v>
      </c>
      <c r="J62" s="133">
        <v>0.03638</v>
      </c>
      <c r="K62" s="136">
        <v>0.0537</v>
      </c>
      <c r="L62" s="193">
        <v>0.042</v>
      </c>
      <c r="Q62" s="124">
        <v>39052</v>
      </c>
      <c r="R62" s="142">
        <v>0.013999999999999999</v>
      </c>
      <c r="V62" s="124">
        <v>39052</v>
      </c>
      <c r="W62" s="223">
        <v>0.803</v>
      </c>
    </row>
    <row r="63" spans="1:23" ht="15.75">
      <c r="A63" s="124">
        <v>39083</v>
      </c>
      <c r="B63" s="130">
        <v>2.4015</v>
      </c>
      <c r="C63" s="130">
        <v>3.8787</v>
      </c>
      <c r="D63" s="126">
        <v>2.9837</v>
      </c>
      <c r="H63" s="124">
        <v>39083</v>
      </c>
      <c r="I63" s="133">
        <v>0.021</v>
      </c>
      <c r="J63" s="133">
        <v>0.03725</v>
      </c>
      <c r="K63" s="136">
        <v>0.0536</v>
      </c>
      <c r="L63" s="193">
        <v>0.042</v>
      </c>
      <c r="Q63" s="124">
        <v>39083</v>
      </c>
      <c r="R63" s="142">
        <v>0.0138</v>
      </c>
      <c r="V63" s="124">
        <v>39083</v>
      </c>
      <c r="W63" s="223">
        <v>0.7958</v>
      </c>
    </row>
    <row r="64" spans="1:23" ht="15.75">
      <c r="A64" s="124">
        <v>39114</v>
      </c>
      <c r="B64" s="130">
        <v>2.4018</v>
      </c>
      <c r="C64" s="130">
        <v>3.8958</v>
      </c>
      <c r="D64" s="126">
        <v>2.9805</v>
      </c>
      <c r="H64" s="124">
        <v>39114</v>
      </c>
      <c r="I64" s="133">
        <v>0.021</v>
      </c>
      <c r="J64" s="133">
        <v>0.03785</v>
      </c>
      <c r="K64" s="136">
        <v>0.0536</v>
      </c>
      <c r="L64" s="193">
        <v>0.042</v>
      </c>
      <c r="Q64" s="124">
        <v>39114</v>
      </c>
      <c r="R64" s="142">
        <v>0.013399999999999995</v>
      </c>
      <c r="V64" s="124">
        <v>39114</v>
      </c>
      <c r="W64" s="223">
        <v>0.7904</v>
      </c>
    </row>
    <row r="65" spans="1:23" ht="15.75">
      <c r="A65" s="124">
        <v>39142</v>
      </c>
      <c r="B65" s="130">
        <v>2.4101</v>
      </c>
      <c r="C65" s="130">
        <v>3.8869</v>
      </c>
      <c r="D65" s="126">
        <v>2.9359</v>
      </c>
      <c r="H65" s="124">
        <v>39142</v>
      </c>
      <c r="I65" s="133">
        <v>0.0223</v>
      </c>
      <c r="J65" s="133">
        <v>0.03856</v>
      </c>
      <c r="K65" s="136">
        <v>0.0535</v>
      </c>
      <c r="L65" s="193">
        <v>0.0422</v>
      </c>
      <c r="Q65" s="124">
        <v>39142</v>
      </c>
      <c r="R65" s="142">
        <v>0.013600000000000008</v>
      </c>
      <c r="V65" s="124">
        <v>39142</v>
      </c>
      <c r="W65" s="223">
        <v>0.7815</v>
      </c>
    </row>
    <row r="66" spans="1:23" ht="15.75">
      <c r="A66" s="124">
        <v>39173</v>
      </c>
      <c r="B66" s="130">
        <v>2.3331</v>
      </c>
      <c r="C66" s="130">
        <v>3.8192</v>
      </c>
      <c r="D66" s="126">
        <v>2.8279</v>
      </c>
      <c r="H66" s="124">
        <v>39173</v>
      </c>
      <c r="I66" s="133">
        <v>0.0223</v>
      </c>
      <c r="J66" s="133">
        <v>0.03927</v>
      </c>
      <c r="K66" s="136">
        <v>0.0535</v>
      </c>
      <c r="L66" s="193">
        <v>0.0432</v>
      </c>
      <c r="Q66" s="124">
        <v>39173</v>
      </c>
      <c r="R66" s="142">
        <v>0.014199999999999997</v>
      </c>
      <c r="V66" s="124">
        <v>39173</v>
      </c>
      <c r="W66" s="223">
        <v>0.7726</v>
      </c>
    </row>
    <row r="67" spans="1:23" ht="15.75">
      <c r="A67" s="124">
        <v>39203</v>
      </c>
      <c r="B67" s="131">
        <v>2.2928</v>
      </c>
      <c r="C67" s="131">
        <v>3.7824</v>
      </c>
      <c r="D67" s="126">
        <v>2.7997</v>
      </c>
      <c r="H67" s="124">
        <v>39203</v>
      </c>
      <c r="I67" s="133">
        <v>0.0235</v>
      </c>
      <c r="J67" s="133">
        <v>0.04023</v>
      </c>
      <c r="K67" s="136">
        <v>0.0536</v>
      </c>
      <c r="L67" s="193">
        <v>0.0444</v>
      </c>
      <c r="Q67" s="124">
        <v>39203</v>
      </c>
      <c r="R67" s="142">
        <v>0.0126</v>
      </c>
      <c r="V67" s="124">
        <v>39203</v>
      </c>
      <c r="W67" s="223">
        <v>0.7638</v>
      </c>
    </row>
    <row r="68" spans="1:23" ht="15.75">
      <c r="A68" s="124">
        <v>39234</v>
      </c>
      <c r="B68" s="130">
        <v>2.3022</v>
      </c>
      <c r="C68" s="130">
        <v>3.8079</v>
      </c>
      <c r="D68" s="126">
        <v>2.8399</v>
      </c>
      <c r="H68" s="124">
        <v>39234</v>
      </c>
      <c r="I68" s="133">
        <v>0.0247</v>
      </c>
      <c r="J68" s="133">
        <v>0.04124</v>
      </c>
      <c r="K68" s="136">
        <v>0.0536</v>
      </c>
      <c r="L68" s="193">
        <v>0.0452</v>
      </c>
      <c r="Q68" s="124">
        <v>39234</v>
      </c>
      <c r="R68" s="142">
        <v>0.013000000000000005</v>
      </c>
      <c r="V68" s="124">
        <v>39234</v>
      </c>
      <c r="W68" s="223">
        <v>0.7638</v>
      </c>
    </row>
    <row r="69" spans="1:23" ht="15.75">
      <c r="A69" s="124">
        <v>39264</v>
      </c>
      <c r="B69" s="131">
        <v>2.2738</v>
      </c>
      <c r="C69" s="131">
        <v>3.7685</v>
      </c>
      <c r="D69" s="126">
        <v>2.75</v>
      </c>
      <c r="H69" s="124">
        <v>39264</v>
      </c>
      <c r="I69" s="133">
        <v>0.027</v>
      </c>
      <c r="J69" s="133">
        <v>0.04176</v>
      </c>
      <c r="K69" s="136">
        <v>0.0536</v>
      </c>
      <c r="L69" s="193">
        <v>0.0478</v>
      </c>
      <c r="Q69" s="124">
        <v>39264</v>
      </c>
      <c r="R69" s="142">
        <v>0.0121</v>
      </c>
      <c r="V69" s="124">
        <v>39264</v>
      </c>
      <c r="W69" s="223">
        <v>0.7691</v>
      </c>
    </row>
    <row r="70" spans="1:23" ht="15.75">
      <c r="A70" s="124">
        <v>39295</v>
      </c>
      <c r="B70" s="130">
        <v>2.3268</v>
      </c>
      <c r="C70" s="130">
        <v>3.81</v>
      </c>
      <c r="D70" s="126">
        <v>2.7981</v>
      </c>
      <c r="H70" s="124">
        <v>39295</v>
      </c>
      <c r="I70" s="133">
        <v>0.027</v>
      </c>
      <c r="J70" s="133">
        <v>0.04264</v>
      </c>
      <c r="K70" s="136">
        <v>0.0536</v>
      </c>
      <c r="L70" s="193">
        <v>0.0491</v>
      </c>
      <c r="Q70" s="124">
        <v>39295</v>
      </c>
      <c r="R70" s="142">
        <v>0.01369999999999999</v>
      </c>
      <c r="V70" s="124">
        <v>39295</v>
      </c>
      <c r="W70" s="223">
        <v>0.7762</v>
      </c>
    </row>
    <row r="71" spans="1:23" ht="15.75">
      <c r="A71" s="124">
        <v>39326</v>
      </c>
      <c r="B71" s="131">
        <v>2.2995</v>
      </c>
      <c r="C71" s="131">
        <v>3.7899</v>
      </c>
      <c r="D71" s="126">
        <v>2.7286</v>
      </c>
      <c r="H71" s="124">
        <v>39326</v>
      </c>
      <c r="I71" s="133">
        <v>0.029</v>
      </c>
      <c r="J71" s="133">
        <v>0.04741</v>
      </c>
      <c r="K71" s="136">
        <v>0.0567</v>
      </c>
      <c r="L71" s="193">
        <v>0.0509</v>
      </c>
      <c r="Q71" s="124">
        <v>39326</v>
      </c>
      <c r="R71" s="142">
        <v>0.012800000000000006</v>
      </c>
      <c r="V71" s="124">
        <v>39326</v>
      </c>
      <c r="W71" s="223">
        <v>0.7621</v>
      </c>
    </row>
    <row r="72" spans="1:23" ht="15.75">
      <c r="A72" s="124">
        <v>39356</v>
      </c>
      <c r="B72" s="130">
        <v>2.2177</v>
      </c>
      <c r="C72" s="130">
        <v>3.7052</v>
      </c>
      <c r="D72" s="126">
        <v>2.6042</v>
      </c>
      <c r="H72" s="124">
        <v>39356</v>
      </c>
      <c r="I72" s="133">
        <v>0.0278</v>
      </c>
      <c r="J72" s="133">
        <v>0.04791</v>
      </c>
      <c r="K72" s="136">
        <v>0.0523</v>
      </c>
      <c r="L72" s="193">
        <v>0.0513</v>
      </c>
      <c r="Q72" s="124">
        <v>39356</v>
      </c>
      <c r="R72" s="142">
        <v>0.014399999999999996</v>
      </c>
      <c r="V72" s="124">
        <v>39356</v>
      </c>
      <c r="W72" s="223">
        <v>0.7516</v>
      </c>
    </row>
    <row r="73" spans="1:23" ht="15.75">
      <c r="A73" s="124">
        <v>39387</v>
      </c>
      <c r="B73" s="130">
        <v>2.2179</v>
      </c>
      <c r="C73" s="130">
        <v>3.6556</v>
      </c>
      <c r="D73" s="126">
        <v>2.4915</v>
      </c>
      <c r="H73" s="124">
        <v>39387</v>
      </c>
      <c r="I73" s="133">
        <v>0.0278</v>
      </c>
      <c r="J73" s="133">
        <v>0.04598</v>
      </c>
      <c r="K73" s="136">
        <v>0.0488</v>
      </c>
      <c r="L73" s="193">
        <v>0.0536</v>
      </c>
      <c r="Q73" s="124">
        <v>39387</v>
      </c>
      <c r="R73" s="142">
        <v>0.012900000000000002</v>
      </c>
      <c r="V73" s="124">
        <v>39387</v>
      </c>
      <c r="W73" s="223">
        <v>0.7395</v>
      </c>
    </row>
    <row r="74" spans="1:23" ht="15.75">
      <c r="A74" s="124">
        <v>39417</v>
      </c>
      <c r="B74" s="130">
        <v>2.1721</v>
      </c>
      <c r="C74" s="130">
        <v>3.6042</v>
      </c>
      <c r="D74" s="126">
        <v>2.4754</v>
      </c>
      <c r="H74" s="124">
        <v>39417</v>
      </c>
      <c r="I74" s="133">
        <v>0.0278</v>
      </c>
      <c r="J74" s="133">
        <v>0.04839</v>
      </c>
      <c r="K74" s="136">
        <v>0.0514</v>
      </c>
      <c r="L74" s="193">
        <v>0.0567</v>
      </c>
      <c r="Q74" s="124">
        <v>39417</v>
      </c>
      <c r="R74" s="142">
        <v>0.011999999999999997</v>
      </c>
      <c r="V74" s="124">
        <v>39417</v>
      </c>
      <c r="W74" s="223">
        <v>0.7343</v>
      </c>
    </row>
    <row r="75" spans="1:23" ht="15.75">
      <c r="A75" s="124">
        <v>39448</v>
      </c>
      <c r="B75" s="131">
        <v>2.2244</v>
      </c>
      <c r="C75" s="131">
        <v>3.608</v>
      </c>
      <c r="D75" s="126">
        <v>2.4537</v>
      </c>
      <c r="H75" s="124">
        <v>39448</v>
      </c>
      <c r="I75" s="133">
        <v>0.0278</v>
      </c>
      <c r="J75" s="133">
        <v>0.04644</v>
      </c>
      <c r="K75" s="136">
        <v>0.0468</v>
      </c>
      <c r="L75" s="193">
        <v>0.0564</v>
      </c>
      <c r="Q75" s="124">
        <v>39448</v>
      </c>
      <c r="R75" s="142">
        <v>0.0133</v>
      </c>
      <c r="V75" s="124">
        <v>39448</v>
      </c>
      <c r="W75" s="223">
        <v>0.7222</v>
      </c>
    </row>
    <row r="76" spans="1:23" ht="15.75">
      <c r="A76" s="124">
        <v>39479</v>
      </c>
      <c r="B76" s="131">
        <v>2.2278</v>
      </c>
      <c r="C76" s="131">
        <v>3.5825</v>
      </c>
      <c r="D76" s="126">
        <v>2.4305</v>
      </c>
      <c r="H76" s="124">
        <v>39479</v>
      </c>
      <c r="I76" s="133">
        <v>0.0266</v>
      </c>
      <c r="J76" s="133">
        <v>0.04367</v>
      </c>
      <c r="K76" s="136">
        <v>0.031</v>
      </c>
      <c r="L76" s="193">
        <v>0.0574</v>
      </c>
      <c r="Q76" s="124">
        <v>39479</v>
      </c>
      <c r="R76" s="142">
        <v>0.014500000000000006</v>
      </c>
      <c r="V76" s="124">
        <v>39479</v>
      </c>
      <c r="W76" s="223">
        <v>0.7153</v>
      </c>
    </row>
    <row r="77" spans="1:23" ht="15.75">
      <c r="A77" s="124">
        <v>39508</v>
      </c>
      <c r="B77" s="131">
        <v>2.251</v>
      </c>
      <c r="C77" s="131">
        <v>3.5374</v>
      </c>
      <c r="D77" s="126">
        <v>2.2816</v>
      </c>
      <c r="H77" s="124">
        <v>39508</v>
      </c>
      <c r="I77" s="133">
        <v>0.0279</v>
      </c>
      <c r="J77" s="133">
        <v>0.04383</v>
      </c>
      <c r="K77" s="136">
        <v>0.0301</v>
      </c>
      <c r="L77" s="193">
        <v>0.0603</v>
      </c>
      <c r="Q77" s="124">
        <v>39508</v>
      </c>
      <c r="R77" s="142">
        <v>0.014000000000000005</v>
      </c>
      <c r="V77" s="124">
        <v>39508</v>
      </c>
      <c r="W77" s="223">
        <v>0.7085</v>
      </c>
    </row>
    <row r="78" spans="1:23" ht="15.75">
      <c r="A78" s="124">
        <v>39539</v>
      </c>
      <c r="B78" s="131">
        <v>2.1574</v>
      </c>
      <c r="C78" s="131">
        <v>3.4444</v>
      </c>
      <c r="D78" s="126">
        <v>2.1852</v>
      </c>
      <c r="H78" s="124">
        <v>39539</v>
      </c>
      <c r="I78" s="133">
        <v>0.0289</v>
      </c>
      <c r="J78" s="133">
        <v>0.04731</v>
      </c>
      <c r="K78" s="136">
        <v>0.0268</v>
      </c>
      <c r="L78" s="193">
        <v>0.0629</v>
      </c>
      <c r="Q78" s="124">
        <v>39539</v>
      </c>
      <c r="R78" s="142">
        <v>0.014700000000000005</v>
      </c>
      <c r="V78" s="124">
        <v>39539</v>
      </c>
      <c r="W78" s="223">
        <v>0.7017</v>
      </c>
    </row>
    <row r="79" spans="1:23" ht="15.75">
      <c r="A79" s="124">
        <v>39569</v>
      </c>
      <c r="B79" s="131">
        <v>2.0984</v>
      </c>
      <c r="C79" s="131">
        <v>3.4069</v>
      </c>
      <c r="D79" s="126">
        <v>2.1904</v>
      </c>
      <c r="H79" s="124">
        <v>39569</v>
      </c>
      <c r="I79" s="133">
        <v>0.0289</v>
      </c>
      <c r="J79" s="133">
        <v>0.04855</v>
      </c>
      <c r="K79" s="136">
        <v>0.0278</v>
      </c>
      <c r="L79" s="193">
        <v>0.0641</v>
      </c>
      <c r="Q79" s="124">
        <v>39569</v>
      </c>
      <c r="R79" s="142">
        <v>0.013999999999999999</v>
      </c>
      <c r="V79" s="124">
        <v>39569</v>
      </c>
      <c r="W79" s="223">
        <v>0.6882</v>
      </c>
    </row>
    <row r="80" spans="1:23" ht="15.75">
      <c r="A80" s="124">
        <v>39600</v>
      </c>
      <c r="B80" s="131">
        <v>2.0909</v>
      </c>
      <c r="C80" s="131">
        <v>3.376</v>
      </c>
      <c r="D80" s="126">
        <v>2.1694</v>
      </c>
      <c r="H80" s="124">
        <v>39600</v>
      </c>
      <c r="I80" s="133">
        <v>0.0278</v>
      </c>
      <c r="J80" s="133">
        <v>0.04865</v>
      </c>
      <c r="K80" s="136">
        <v>0.0268</v>
      </c>
      <c r="L80" s="193">
        <v>0.0658</v>
      </c>
      <c r="Q80" s="124">
        <v>39600</v>
      </c>
      <c r="R80" s="142">
        <v>0.014399999999999996</v>
      </c>
      <c r="V80" s="124">
        <v>39600</v>
      </c>
      <c r="W80" s="223">
        <v>0.6848</v>
      </c>
    </row>
    <row r="81" spans="1:23" ht="15.75">
      <c r="A81" s="124">
        <v>39630</v>
      </c>
      <c r="B81" s="131">
        <v>2.0139</v>
      </c>
      <c r="C81" s="131">
        <v>3.26</v>
      </c>
      <c r="D81" s="126">
        <v>2.0674</v>
      </c>
      <c r="H81" s="124">
        <v>39630</v>
      </c>
      <c r="I81" s="133">
        <v>0.0278</v>
      </c>
      <c r="J81" s="133">
        <v>0.04955</v>
      </c>
      <c r="K81" s="136">
        <v>0.0279</v>
      </c>
      <c r="L81" s="193">
        <v>0.0662</v>
      </c>
      <c r="Q81" s="124">
        <v>39630</v>
      </c>
      <c r="R81" s="142">
        <v>0.017200000000000007</v>
      </c>
      <c r="V81" s="124">
        <v>39630</v>
      </c>
      <c r="W81" s="223">
        <v>0.6848</v>
      </c>
    </row>
    <row r="82" spans="1:23" ht="15.75">
      <c r="A82" s="124">
        <v>39661</v>
      </c>
      <c r="B82" s="131">
        <v>2.0279</v>
      </c>
      <c r="C82" s="131">
        <v>3.2884</v>
      </c>
      <c r="D82" s="126">
        <v>2.1926</v>
      </c>
      <c r="H82" s="124">
        <v>39661</v>
      </c>
      <c r="I82" s="133">
        <v>0.0278</v>
      </c>
      <c r="J82" s="133">
        <v>0.04968</v>
      </c>
      <c r="K82" s="136">
        <v>0.0279</v>
      </c>
      <c r="L82" s="193">
        <v>0.0652</v>
      </c>
      <c r="Q82" s="124">
        <v>39661</v>
      </c>
      <c r="R82" s="142">
        <v>0.019500000000000003</v>
      </c>
      <c r="V82" s="124">
        <v>39661</v>
      </c>
      <c r="W82" s="223">
        <v>0.6916</v>
      </c>
    </row>
    <row r="83" spans="1:23" ht="15.75">
      <c r="A83" s="124">
        <v>39692</v>
      </c>
      <c r="B83" s="131">
        <v>2.1152</v>
      </c>
      <c r="C83" s="131">
        <v>3.3712</v>
      </c>
      <c r="D83" s="126">
        <v>2.3497</v>
      </c>
      <c r="H83" s="124">
        <v>39692</v>
      </c>
      <c r="I83" s="133">
        <v>0.0278</v>
      </c>
      <c r="J83" s="133">
        <v>0.04961</v>
      </c>
      <c r="K83" s="136">
        <v>0.0281</v>
      </c>
      <c r="L83" s="193">
        <v>0.0656</v>
      </c>
      <c r="Q83" s="124">
        <v>39692</v>
      </c>
      <c r="R83" s="142">
        <v>0.020600000000000007</v>
      </c>
      <c r="V83" s="124">
        <v>39692</v>
      </c>
      <c r="W83" s="223">
        <v>0.6865</v>
      </c>
    </row>
    <row r="84" spans="1:23" ht="15.75">
      <c r="A84" s="124">
        <v>39722</v>
      </c>
      <c r="B84" s="131">
        <v>2.3634</v>
      </c>
      <c r="C84" s="131">
        <v>3.5855</v>
      </c>
      <c r="D84" s="126">
        <v>2.698</v>
      </c>
      <c r="H84" s="124">
        <v>39722</v>
      </c>
      <c r="I84" s="133">
        <v>0.0293</v>
      </c>
      <c r="J84" s="133">
        <v>0.05291</v>
      </c>
      <c r="K84" s="136">
        <v>0.0415</v>
      </c>
      <c r="L84" s="193">
        <v>0.068</v>
      </c>
      <c r="Q84" s="124">
        <v>39722</v>
      </c>
      <c r="R84" s="142">
        <v>0.0189</v>
      </c>
      <c r="V84" s="124">
        <v>39722</v>
      </c>
      <c r="W84" s="223">
        <v>0.6798</v>
      </c>
    </row>
    <row r="85" spans="1:23" ht="15.75">
      <c r="A85" s="124">
        <v>39753</v>
      </c>
      <c r="B85" s="131">
        <v>2.4566</v>
      </c>
      <c r="C85" s="131">
        <v>3.7207</v>
      </c>
      <c r="D85" s="126">
        <v>2.9209</v>
      </c>
      <c r="H85" s="124">
        <v>39753</v>
      </c>
      <c r="I85" s="133">
        <v>0.0277</v>
      </c>
      <c r="J85" s="133">
        <v>0.04733</v>
      </c>
      <c r="K85" s="136">
        <v>0.0286</v>
      </c>
      <c r="L85" s="193">
        <v>0.0674</v>
      </c>
      <c r="Q85" s="124">
        <v>39753</v>
      </c>
      <c r="R85" s="142">
        <v>0.021199999999999997</v>
      </c>
      <c r="V85" s="124">
        <v>39753</v>
      </c>
      <c r="W85" s="223">
        <v>0.6765</v>
      </c>
    </row>
    <row r="86" spans="1:23" ht="15.75">
      <c r="A86" s="124">
        <v>39783</v>
      </c>
      <c r="B86" s="131">
        <v>2.6144</v>
      </c>
      <c r="C86" s="131">
        <v>4.0177</v>
      </c>
      <c r="D86" s="126">
        <v>2.9715</v>
      </c>
      <c r="H86" s="124">
        <v>39783</v>
      </c>
      <c r="I86" s="133">
        <v>0.0127</v>
      </c>
      <c r="J86" s="133">
        <v>0.03816</v>
      </c>
      <c r="K86" s="136">
        <v>0.0222</v>
      </c>
      <c r="L86" s="193">
        <v>0.0638</v>
      </c>
      <c r="Q86" s="124">
        <v>39783</v>
      </c>
      <c r="R86" s="142">
        <v>0.0242</v>
      </c>
      <c r="V86" s="124">
        <v>39783</v>
      </c>
      <c r="W86" s="223">
        <v>0.6781</v>
      </c>
    </row>
    <row r="87" spans="1:23" ht="15.75">
      <c r="A87" s="124">
        <v>39814</v>
      </c>
      <c r="B87" s="131">
        <v>2.8272</v>
      </c>
      <c r="C87" s="131">
        <v>4.2181</v>
      </c>
      <c r="D87" s="126">
        <v>3.1717</v>
      </c>
      <c r="H87" s="124">
        <v>39814</v>
      </c>
      <c r="I87" s="133">
        <v>0.0067</v>
      </c>
      <c r="J87" s="133">
        <v>0.02859</v>
      </c>
      <c r="K87" s="136">
        <v>0.0141</v>
      </c>
      <c r="L87" s="193">
        <v>0.0551</v>
      </c>
      <c r="Q87" s="124">
        <v>39814</v>
      </c>
      <c r="R87" s="142">
        <v>0.0315</v>
      </c>
      <c r="V87" s="124">
        <v>39814</v>
      </c>
      <c r="W87" s="223">
        <v>0.6698</v>
      </c>
    </row>
    <row r="88" spans="1:23" ht="15.75">
      <c r="A88" s="124">
        <v>39845</v>
      </c>
      <c r="B88" s="131">
        <v>3.1131</v>
      </c>
      <c r="C88" s="131">
        <v>4.6442</v>
      </c>
      <c r="D88" s="126">
        <v>3.6314</v>
      </c>
      <c r="H88" s="124">
        <v>39845</v>
      </c>
      <c r="I88" s="133">
        <v>0.0053</v>
      </c>
      <c r="J88" s="133">
        <v>0.02077</v>
      </c>
      <c r="K88" s="136">
        <v>0.0123</v>
      </c>
      <c r="L88" s="193">
        <v>0.0469</v>
      </c>
      <c r="Q88" s="124">
        <v>39845</v>
      </c>
      <c r="R88" s="142">
        <v>0.028099999999999993</v>
      </c>
      <c r="V88" s="124">
        <v>39845</v>
      </c>
      <c r="W88" s="223">
        <v>0.6549</v>
      </c>
    </row>
    <row r="89" spans="1:23" ht="15.75">
      <c r="A89" s="124">
        <v>39873</v>
      </c>
      <c r="B89" s="131">
        <v>3.0687</v>
      </c>
      <c r="C89" s="131">
        <v>4.6237</v>
      </c>
      <c r="D89" s="126">
        <v>3.5412</v>
      </c>
      <c r="H89" s="124">
        <v>39873</v>
      </c>
      <c r="I89" s="133">
        <v>0.0053</v>
      </c>
      <c r="J89" s="133">
        <v>0.01811</v>
      </c>
      <c r="K89" s="136">
        <v>0.0127</v>
      </c>
      <c r="L89" s="193">
        <v>0.043</v>
      </c>
      <c r="Q89" s="124">
        <v>39873</v>
      </c>
      <c r="R89" s="142">
        <v>0.028800000000000006</v>
      </c>
      <c r="V89" s="124">
        <v>39873</v>
      </c>
      <c r="W89" s="223">
        <v>0.6434</v>
      </c>
    </row>
    <row r="90" spans="1:23" ht="15.75">
      <c r="A90" s="124">
        <v>39904</v>
      </c>
      <c r="B90" s="131">
        <v>2.9129</v>
      </c>
      <c r="C90" s="131">
        <v>4.4193</v>
      </c>
      <c r="D90" s="126">
        <v>3.348</v>
      </c>
      <c r="H90" s="124">
        <v>39904</v>
      </c>
      <c r="I90" s="133">
        <v>0.004</v>
      </c>
      <c r="J90" s="133">
        <v>0.01498</v>
      </c>
      <c r="K90" s="136">
        <v>0.0118</v>
      </c>
      <c r="L90" s="193">
        <v>0.042</v>
      </c>
      <c r="Q90" s="124">
        <v>39904</v>
      </c>
      <c r="R90" s="142">
        <v>0.028199999999999996</v>
      </c>
      <c r="V90" s="124">
        <v>39904</v>
      </c>
      <c r="W90" s="223">
        <v>0.632</v>
      </c>
    </row>
    <row r="91" spans="1:23" ht="15.75">
      <c r="A91" s="124">
        <v>39934</v>
      </c>
      <c r="B91" s="131">
        <v>2.9168</v>
      </c>
      <c r="C91" s="131">
        <v>4.4105</v>
      </c>
      <c r="D91" s="126">
        <v>3.2337</v>
      </c>
      <c r="H91" s="124">
        <v>39934</v>
      </c>
      <c r="I91" s="133">
        <v>0.004</v>
      </c>
      <c r="J91" s="133">
        <v>0.01354</v>
      </c>
      <c r="K91" s="136">
        <v>0.0101</v>
      </c>
      <c r="L91" s="193">
        <v>0.0452</v>
      </c>
      <c r="Q91" s="124">
        <v>39934</v>
      </c>
      <c r="R91" s="142">
        <v>0.026200000000000008</v>
      </c>
      <c r="V91" s="124">
        <v>39934</v>
      </c>
      <c r="W91" s="223">
        <v>0.6238</v>
      </c>
    </row>
    <row r="92" spans="1:23" ht="15.75">
      <c r="A92" s="124">
        <v>39965</v>
      </c>
      <c r="B92" s="131">
        <v>2.9751</v>
      </c>
      <c r="C92" s="131">
        <v>4.5081</v>
      </c>
      <c r="D92" s="126">
        <v>3.2146</v>
      </c>
      <c r="H92" s="124">
        <v>39965</v>
      </c>
      <c r="I92" s="133">
        <v>0.004</v>
      </c>
      <c r="J92" s="133">
        <v>0.01266</v>
      </c>
      <c r="K92" s="136">
        <v>0.0065</v>
      </c>
      <c r="L92" s="193">
        <v>0.046</v>
      </c>
      <c r="Q92" s="124">
        <v>39965</v>
      </c>
      <c r="R92" s="142">
        <v>0.026300000000000004</v>
      </c>
      <c r="V92" s="124">
        <v>39965</v>
      </c>
      <c r="W92" s="223">
        <v>0.6206</v>
      </c>
    </row>
    <row r="93" spans="1:23" ht="15.75">
      <c r="A93" s="124">
        <v>39995</v>
      </c>
      <c r="B93" s="131">
        <v>2.8325</v>
      </c>
      <c r="C93" s="131">
        <v>4.3053</v>
      </c>
      <c r="D93" s="126">
        <v>3.0596</v>
      </c>
      <c r="H93" s="124">
        <v>39995</v>
      </c>
      <c r="I93" s="133">
        <v>0.004</v>
      </c>
      <c r="J93" s="133">
        <v>0.0111</v>
      </c>
      <c r="K93" s="134">
        <v>0.006</v>
      </c>
      <c r="L93" s="193">
        <v>0.0426</v>
      </c>
      <c r="Q93" s="124">
        <v>39995</v>
      </c>
      <c r="R93" s="142">
        <v>0.030399999999999996</v>
      </c>
      <c r="V93" s="124">
        <v>39995</v>
      </c>
      <c r="W93" s="223">
        <v>0.619</v>
      </c>
    </row>
    <row r="94" spans="1:23" ht="15.75">
      <c r="A94" s="124">
        <v>40026</v>
      </c>
      <c r="B94" s="131">
        <v>2.71</v>
      </c>
      <c r="C94" s="131">
        <v>4.1311</v>
      </c>
      <c r="D94" s="126">
        <v>2.8956</v>
      </c>
      <c r="H94" s="124">
        <v>40026</v>
      </c>
      <c r="I94" s="133">
        <v>0.004</v>
      </c>
      <c r="J94" s="133">
        <v>0.009</v>
      </c>
      <c r="K94" s="134">
        <v>0.0048</v>
      </c>
      <c r="L94" s="193">
        <v>0.0416</v>
      </c>
      <c r="Q94" s="124">
        <v>40026</v>
      </c>
      <c r="R94" s="142">
        <v>0.0324</v>
      </c>
      <c r="V94" s="124">
        <v>40026</v>
      </c>
      <c r="W94" s="223">
        <v>0.6255</v>
      </c>
    </row>
    <row r="95" spans="1:23" ht="15.75">
      <c r="A95" s="124">
        <v>40057</v>
      </c>
      <c r="B95" s="131">
        <v>2.7488</v>
      </c>
      <c r="C95" s="131">
        <v>4.1635</v>
      </c>
      <c r="D95" s="126">
        <v>2.8595</v>
      </c>
      <c r="H95" s="124">
        <v>40057</v>
      </c>
      <c r="I95" s="133">
        <v>0.004</v>
      </c>
      <c r="J95" s="133">
        <f>J94</f>
        <v>0.009</v>
      </c>
      <c r="K95" s="134">
        <v>0.0035</v>
      </c>
      <c r="L95" s="193">
        <v>0.0418</v>
      </c>
      <c r="Q95" s="124">
        <v>40057</v>
      </c>
      <c r="R95" s="142">
        <v>0.0342</v>
      </c>
      <c r="V95" s="124">
        <v>40057</v>
      </c>
      <c r="W95" s="223">
        <v>0.6255</v>
      </c>
    </row>
    <row r="96" spans="1:23" ht="15.75">
      <c r="A96" s="124">
        <v>40087</v>
      </c>
      <c r="B96" s="131">
        <v>2.7851</v>
      </c>
      <c r="C96" s="131">
        <v>4.2173</v>
      </c>
      <c r="D96" s="126">
        <v>2.8469</v>
      </c>
      <c r="H96" s="124">
        <v>40087</v>
      </c>
      <c r="I96" s="133">
        <v>0.0029</v>
      </c>
      <c r="J96" s="133">
        <v>0.0075</v>
      </c>
      <c r="K96" s="134">
        <f aca="true" t="shared" si="0" ref="K96:K158">K95</f>
        <v>0.0035</v>
      </c>
      <c r="L96" s="193">
        <v>0.0418</v>
      </c>
      <c r="Q96" s="124">
        <v>40087</v>
      </c>
      <c r="R96" s="142">
        <v>0.03110000000000001</v>
      </c>
      <c r="V96" s="124">
        <v>40087</v>
      </c>
      <c r="W96" s="223">
        <v>0.6239</v>
      </c>
    </row>
    <row r="97" spans="1:23" ht="15.75">
      <c r="A97" s="124">
        <v>40118</v>
      </c>
      <c r="B97" s="131">
        <v>2.7628</v>
      </c>
      <c r="C97" s="131">
        <v>4.1734</v>
      </c>
      <c r="D97" s="126">
        <v>2.799</v>
      </c>
      <c r="H97" s="124">
        <v>40118</v>
      </c>
      <c r="I97" s="133">
        <v>0.0029</v>
      </c>
      <c r="J97" s="133">
        <f aca="true" t="shared" si="1" ref="J97:J159">J96</f>
        <v>0.0075</v>
      </c>
      <c r="K97" s="134">
        <f t="shared" si="0"/>
        <v>0.0035</v>
      </c>
      <c r="L97" s="193">
        <v>0.0419</v>
      </c>
      <c r="Q97" s="124">
        <v>40118</v>
      </c>
      <c r="R97" s="142">
        <v>0.029099999999999987</v>
      </c>
      <c r="V97" s="124">
        <v>40118</v>
      </c>
      <c r="W97" s="223">
        <v>0.619</v>
      </c>
    </row>
    <row r="98" spans="1:23" ht="15.75">
      <c r="A98" s="124">
        <v>40148</v>
      </c>
      <c r="B98" s="131">
        <v>2.7584</v>
      </c>
      <c r="C98" s="131">
        <v>4.1427</v>
      </c>
      <c r="D98" s="126">
        <v>2.8352</v>
      </c>
      <c r="H98" s="124">
        <v>40148</v>
      </c>
      <c r="I98" s="133">
        <v>0.0029</v>
      </c>
      <c r="J98" s="133">
        <f t="shared" si="1"/>
        <v>0.0075</v>
      </c>
      <c r="K98" s="134">
        <f t="shared" si="0"/>
        <v>0.0035</v>
      </c>
      <c r="L98" s="193">
        <v>0.0423</v>
      </c>
      <c r="Q98" s="124">
        <v>40148</v>
      </c>
      <c r="R98" s="142">
        <v>0.02779999999999999</v>
      </c>
      <c r="V98" s="124">
        <v>40148</v>
      </c>
      <c r="W98" s="223">
        <v>0.619</v>
      </c>
    </row>
    <row r="99" spans="1:23" ht="15.75">
      <c r="A99" s="124">
        <v>40179</v>
      </c>
      <c r="B99" s="131">
        <v>2.7573</v>
      </c>
      <c r="C99" s="131">
        <v>4.072</v>
      </c>
      <c r="D99" s="126">
        <v>2.8518</v>
      </c>
      <c r="H99" s="124">
        <v>40179</v>
      </c>
      <c r="I99" s="133">
        <v>0.0029</v>
      </c>
      <c r="J99" s="133">
        <f t="shared" si="1"/>
        <v>0.0075</v>
      </c>
      <c r="K99" s="134">
        <v>0.0025</v>
      </c>
      <c r="L99" s="193">
        <v>0.0424</v>
      </c>
      <c r="Q99" s="124">
        <v>40179</v>
      </c>
      <c r="R99" s="142">
        <v>0.0278</v>
      </c>
      <c r="V99" s="124">
        <v>40179</v>
      </c>
      <c r="W99" s="223">
        <v>0.6093</v>
      </c>
    </row>
    <row r="100" spans="1:23" ht="15.75">
      <c r="A100" s="124">
        <v>40210</v>
      </c>
      <c r="B100" s="131">
        <v>2.7371</v>
      </c>
      <c r="C100" s="131">
        <v>4.0155</v>
      </c>
      <c r="D100" s="126">
        <v>2.9385</v>
      </c>
      <c r="H100" s="124">
        <v>40210</v>
      </c>
      <c r="I100" s="133">
        <v>0.0029</v>
      </c>
      <c r="J100" s="133">
        <f t="shared" si="1"/>
        <v>0.0075</v>
      </c>
      <c r="K100" s="134">
        <f t="shared" si="0"/>
        <v>0.0025</v>
      </c>
      <c r="L100" s="193">
        <v>0.0417</v>
      </c>
      <c r="Q100" s="124">
        <v>40210</v>
      </c>
      <c r="R100" s="142">
        <v>0.028200000000000003</v>
      </c>
      <c r="V100" s="124">
        <v>40210</v>
      </c>
      <c r="W100" s="223">
        <v>0.6061</v>
      </c>
    </row>
    <row r="101" spans="1:23" ht="15.75">
      <c r="A101" s="124">
        <v>40238</v>
      </c>
      <c r="B101" s="131">
        <v>2.6885</v>
      </c>
      <c r="C101" s="131">
        <v>3.8919</v>
      </c>
      <c r="D101" s="126">
        <v>2.8672</v>
      </c>
      <c r="H101" s="124">
        <v>40238</v>
      </c>
      <c r="I101" s="133">
        <v>0.0029</v>
      </c>
      <c r="J101" s="133">
        <f t="shared" si="1"/>
        <v>0.0075</v>
      </c>
      <c r="K101" s="134">
        <f t="shared" si="0"/>
        <v>0.0025</v>
      </c>
      <c r="L101" s="193">
        <v>0.0413</v>
      </c>
      <c r="Q101" s="124">
        <v>40238</v>
      </c>
      <c r="R101" s="142">
        <v>0.03010000000000001</v>
      </c>
      <c r="V101" s="124">
        <v>40238</v>
      </c>
      <c r="W101" s="223">
        <v>0.6013</v>
      </c>
    </row>
    <row r="102" spans="1:23" ht="15.75">
      <c r="A102" s="124">
        <v>40269</v>
      </c>
      <c r="B102" s="131">
        <v>2.6997</v>
      </c>
      <c r="C102" s="131">
        <v>3.8704</v>
      </c>
      <c r="D102" s="126">
        <v>2.8799</v>
      </c>
      <c r="H102" s="124">
        <v>40269</v>
      </c>
      <c r="I102" s="133">
        <v>0.0029</v>
      </c>
      <c r="J102" s="133">
        <v>0.0064</v>
      </c>
      <c r="K102" s="134">
        <f t="shared" si="0"/>
        <v>0.0025</v>
      </c>
      <c r="L102" s="193">
        <v>0.0392</v>
      </c>
      <c r="Q102" s="124">
        <v>40269</v>
      </c>
      <c r="R102" s="142">
        <v>0.030700000000000005</v>
      </c>
      <c r="V102" s="124">
        <v>40269</v>
      </c>
      <c r="W102" s="223">
        <v>0.595</v>
      </c>
    </row>
    <row r="103" spans="1:23" ht="15.75">
      <c r="A103" s="124">
        <v>40299</v>
      </c>
      <c r="B103" s="131">
        <v>2.8504</v>
      </c>
      <c r="C103" s="131">
        <v>4.0521</v>
      </c>
      <c r="D103" s="126">
        <v>3.2137</v>
      </c>
      <c r="H103" s="124">
        <v>40299</v>
      </c>
      <c r="I103" s="133">
        <v>0.0029</v>
      </c>
      <c r="J103" s="133">
        <f t="shared" si="1"/>
        <v>0.0064</v>
      </c>
      <c r="K103" s="134">
        <f t="shared" si="0"/>
        <v>0.0025</v>
      </c>
      <c r="L103" s="193">
        <v>0.0385</v>
      </c>
      <c r="Q103" s="124">
        <v>40299</v>
      </c>
      <c r="R103" s="142">
        <v>0.0288</v>
      </c>
      <c r="V103" s="124">
        <v>40299</v>
      </c>
      <c r="W103" s="223">
        <v>0.5902</v>
      </c>
    </row>
    <row r="104" spans="1:23" ht="15.75">
      <c r="A104" s="124">
        <v>40330</v>
      </c>
      <c r="B104" s="131">
        <v>2.9778</v>
      </c>
      <c r="C104" s="131">
        <v>4.1025</v>
      </c>
      <c r="D104" s="126">
        <v>3.3571</v>
      </c>
      <c r="H104" s="124">
        <v>40330</v>
      </c>
      <c r="I104" s="133">
        <v>0.0011</v>
      </c>
      <c r="J104" s="133">
        <f t="shared" si="1"/>
        <v>0.0064</v>
      </c>
      <c r="K104" s="134">
        <v>0.0054</v>
      </c>
      <c r="L104" s="193">
        <v>0.0386</v>
      </c>
      <c r="Q104" s="124">
        <v>40330</v>
      </c>
      <c r="R104" s="142">
        <v>0.02850000000000001</v>
      </c>
      <c r="V104" s="124">
        <v>40330</v>
      </c>
      <c r="W104" s="223">
        <v>0.5854</v>
      </c>
    </row>
    <row r="105" spans="1:23" ht="15.75">
      <c r="A105" s="124">
        <v>40360</v>
      </c>
      <c r="B105" s="131">
        <v>3.0308</v>
      </c>
      <c r="C105" s="131">
        <v>4.0818</v>
      </c>
      <c r="D105" s="126">
        <v>3.195</v>
      </c>
      <c r="H105" s="124">
        <v>40360</v>
      </c>
      <c r="I105" s="133">
        <v>0.0011</v>
      </c>
      <c r="J105" s="133">
        <v>0.0076</v>
      </c>
      <c r="K105" s="134">
        <f t="shared" si="0"/>
        <v>0.0054</v>
      </c>
      <c r="L105" s="193">
        <v>0.0384</v>
      </c>
      <c r="Q105" s="124">
        <v>40360</v>
      </c>
      <c r="R105" s="142">
        <v>0.0278</v>
      </c>
      <c r="V105" s="124">
        <v>40360</v>
      </c>
      <c r="W105" s="223">
        <v>0.5886</v>
      </c>
    </row>
    <row r="106" spans="1:23" ht="15.75">
      <c r="A106" s="124">
        <v>40391</v>
      </c>
      <c r="B106" s="131">
        <v>2.9725</v>
      </c>
      <c r="C106" s="131">
        <v>3.9872</v>
      </c>
      <c r="D106" s="126">
        <v>3.0894</v>
      </c>
      <c r="H106" s="124">
        <v>40391</v>
      </c>
      <c r="I106" s="133">
        <v>0.0011</v>
      </c>
      <c r="J106" s="133">
        <v>0.009</v>
      </c>
      <c r="K106" s="134">
        <f t="shared" si="0"/>
        <v>0.0054</v>
      </c>
      <c r="L106" s="193">
        <v>0.0381</v>
      </c>
      <c r="Q106" s="124">
        <v>40391</v>
      </c>
      <c r="R106" s="142">
        <v>0.02609999999999999</v>
      </c>
      <c r="V106" s="124">
        <v>40391</v>
      </c>
      <c r="W106" s="223">
        <v>0.595</v>
      </c>
    </row>
    <row r="107" spans="1:23" ht="15.75">
      <c r="A107" s="124">
        <v>40422</v>
      </c>
      <c r="B107" s="131">
        <v>3.0196</v>
      </c>
      <c r="C107" s="131">
        <v>3.9558</v>
      </c>
      <c r="D107" s="126">
        <v>3.0318</v>
      </c>
      <c r="H107" s="124">
        <v>40422</v>
      </c>
      <c r="I107" s="133">
        <v>0.0011</v>
      </c>
      <c r="J107" s="133">
        <f t="shared" si="1"/>
        <v>0.009</v>
      </c>
      <c r="K107" s="134">
        <v>0.003</v>
      </c>
      <c r="L107" s="193">
        <v>0.0382</v>
      </c>
      <c r="Q107" s="124">
        <v>40422</v>
      </c>
      <c r="R107" s="142">
        <v>0.025800000000000003</v>
      </c>
      <c r="V107" s="124">
        <v>40422</v>
      </c>
      <c r="W107" s="223">
        <v>0.5855</v>
      </c>
    </row>
    <row r="108" spans="1:23" ht="15.75">
      <c r="A108" s="124">
        <v>40452</v>
      </c>
      <c r="B108" s="131">
        <v>2.9358</v>
      </c>
      <c r="C108" s="131">
        <v>3.9562</v>
      </c>
      <c r="D108" s="126">
        <v>2.8482</v>
      </c>
      <c r="H108" s="124">
        <v>40452</v>
      </c>
      <c r="I108" s="133">
        <v>0.0011</v>
      </c>
      <c r="J108" s="133">
        <f t="shared" si="1"/>
        <v>0.009</v>
      </c>
      <c r="K108" s="134">
        <f t="shared" si="0"/>
        <v>0.003</v>
      </c>
      <c r="L108" s="193">
        <v>0.0383</v>
      </c>
      <c r="Q108" s="124">
        <v>40452</v>
      </c>
      <c r="R108" s="142">
        <v>0.025800000000000003</v>
      </c>
      <c r="V108" s="124">
        <v>40452</v>
      </c>
      <c r="W108" s="223">
        <v>0.5776</v>
      </c>
    </row>
    <row r="109" spans="1:23" ht="15.75">
      <c r="A109" s="124">
        <v>40483</v>
      </c>
      <c r="B109" s="131">
        <v>2.9432</v>
      </c>
      <c r="C109" s="131">
        <v>3.9531</v>
      </c>
      <c r="D109" s="126">
        <v>2.8913</v>
      </c>
      <c r="H109" s="124">
        <v>40483</v>
      </c>
      <c r="I109" s="133">
        <v>0.0011</v>
      </c>
      <c r="J109" s="133">
        <v>0.0105</v>
      </c>
      <c r="K109" s="134">
        <f t="shared" si="0"/>
        <v>0.003</v>
      </c>
      <c r="L109" s="193">
        <v>0.0386</v>
      </c>
      <c r="Q109" s="124">
        <v>40483</v>
      </c>
      <c r="R109" s="142">
        <v>0.023900000000000005</v>
      </c>
      <c r="V109" s="124">
        <v>40483</v>
      </c>
      <c r="W109" s="223">
        <v>0.576</v>
      </c>
    </row>
    <row r="110" spans="1:23" ht="15.75">
      <c r="A110" s="124">
        <v>40513</v>
      </c>
      <c r="B110" s="131">
        <v>3.1155</v>
      </c>
      <c r="C110" s="131">
        <v>3.9959</v>
      </c>
      <c r="D110" s="126">
        <v>3.0197</v>
      </c>
      <c r="H110" s="124">
        <v>40513</v>
      </c>
      <c r="I110" s="133">
        <v>0.0011</v>
      </c>
      <c r="J110" s="133">
        <f t="shared" si="1"/>
        <v>0.0105</v>
      </c>
      <c r="K110" s="134">
        <f t="shared" si="0"/>
        <v>0.003</v>
      </c>
      <c r="L110" s="193">
        <v>0.0392</v>
      </c>
      <c r="Q110" s="124">
        <v>40513</v>
      </c>
      <c r="R110" s="142">
        <v>0.022699999999999998</v>
      </c>
      <c r="V110" s="124">
        <v>40513</v>
      </c>
      <c r="W110" s="223">
        <v>0.5697</v>
      </c>
    </row>
    <row r="111" spans="1:23" ht="15.75">
      <c r="A111" s="124">
        <v>40544</v>
      </c>
      <c r="B111" s="131">
        <v>3.0503</v>
      </c>
      <c r="C111" s="131">
        <v>3.8969</v>
      </c>
      <c r="D111" s="126">
        <v>2.9148</v>
      </c>
      <c r="H111" s="124">
        <v>40544</v>
      </c>
      <c r="I111" s="133">
        <v>0.0011</v>
      </c>
      <c r="J111" s="133">
        <f t="shared" si="1"/>
        <v>0.0105</v>
      </c>
      <c r="K111" s="134">
        <f t="shared" si="0"/>
        <v>0.003</v>
      </c>
      <c r="L111" s="193">
        <v>0.0401</v>
      </c>
      <c r="Q111" s="124">
        <v>40544</v>
      </c>
      <c r="R111" s="142">
        <v>0.020700000000000003</v>
      </c>
      <c r="V111" s="124">
        <v>40544</v>
      </c>
      <c r="W111" s="223">
        <v>0.5511</v>
      </c>
    </row>
    <row r="112" spans="1:23" ht="15.75">
      <c r="A112" s="124">
        <v>40575</v>
      </c>
      <c r="B112" s="131">
        <v>3.0312</v>
      </c>
      <c r="C112" s="131">
        <v>3.9286</v>
      </c>
      <c r="D112" s="126">
        <v>2.8787</v>
      </c>
      <c r="H112" s="124">
        <v>40575</v>
      </c>
      <c r="I112" s="133">
        <v>0.0011</v>
      </c>
      <c r="J112" s="133">
        <f t="shared" si="1"/>
        <v>0.0105</v>
      </c>
      <c r="K112" s="134">
        <f t="shared" si="0"/>
        <v>0.003</v>
      </c>
      <c r="L112" s="193">
        <v>0.0411</v>
      </c>
      <c r="Q112" s="124">
        <v>40575</v>
      </c>
      <c r="R112" s="142">
        <v>0.021099999999999994</v>
      </c>
      <c r="V112" s="124">
        <v>40575</v>
      </c>
      <c r="W112" s="223">
        <v>0.548</v>
      </c>
    </row>
    <row r="113" spans="1:23" ht="15.75">
      <c r="A113" s="124">
        <v>40603</v>
      </c>
      <c r="B113" s="131">
        <v>3.1188</v>
      </c>
      <c r="C113" s="131">
        <v>4.0174</v>
      </c>
      <c r="D113" s="126">
        <v>2.8688</v>
      </c>
      <c r="H113" s="124">
        <v>40603</v>
      </c>
      <c r="I113" s="133">
        <v>0.0011</v>
      </c>
      <c r="J113" s="133">
        <f t="shared" si="1"/>
        <v>0.0105</v>
      </c>
      <c r="K113" s="134">
        <f t="shared" si="0"/>
        <v>0.003</v>
      </c>
      <c r="L113" s="193">
        <v>0.0418</v>
      </c>
      <c r="Q113" s="124">
        <v>40603</v>
      </c>
      <c r="R113" s="142">
        <v>0.022</v>
      </c>
      <c r="V113" s="124">
        <v>40603</v>
      </c>
      <c r="W113" s="223">
        <v>0.5342</v>
      </c>
    </row>
    <row r="114" spans="1:23" ht="15.75">
      <c r="A114" s="124">
        <v>40634</v>
      </c>
      <c r="B114" s="131">
        <v>3.0592</v>
      </c>
      <c r="C114" s="131">
        <v>3.9706</v>
      </c>
      <c r="D114" s="126">
        <v>2.7467</v>
      </c>
      <c r="H114" s="124">
        <v>40634</v>
      </c>
      <c r="I114" s="133">
        <v>0.0011</v>
      </c>
      <c r="J114" s="133">
        <v>0.0123</v>
      </c>
      <c r="K114" s="134">
        <f t="shared" si="0"/>
        <v>0.003</v>
      </c>
      <c r="L114" s="193">
        <v>0.0427</v>
      </c>
      <c r="Q114" s="124">
        <v>40634</v>
      </c>
      <c r="R114" s="142">
        <v>0.02100000000000001</v>
      </c>
      <c r="V114" s="124">
        <v>40634</v>
      </c>
      <c r="W114" s="223">
        <v>0.5266</v>
      </c>
    </row>
    <row r="115" spans="1:23" ht="15.75">
      <c r="A115" s="124">
        <v>40664</v>
      </c>
      <c r="B115" s="131">
        <v>3.14</v>
      </c>
      <c r="C115" s="131">
        <v>3.9395</v>
      </c>
      <c r="D115" s="126">
        <v>2.7419</v>
      </c>
      <c r="H115" s="124">
        <v>40664</v>
      </c>
      <c r="I115" s="133">
        <v>0.0011</v>
      </c>
      <c r="J115" s="133">
        <v>0.0138</v>
      </c>
      <c r="K115" s="134">
        <f t="shared" si="0"/>
        <v>0.003</v>
      </c>
      <c r="L115" s="193">
        <v>0.044</v>
      </c>
      <c r="Q115" s="124">
        <v>40664</v>
      </c>
      <c r="R115" s="142">
        <v>0.020899999999999995</v>
      </c>
      <c r="V115" s="124">
        <v>40664</v>
      </c>
      <c r="W115" s="223">
        <v>0.5175</v>
      </c>
    </row>
    <row r="116" spans="1:23" ht="15.75">
      <c r="A116" s="124">
        <v>40695</v>
      </c>
      <c r="B116" s="131">
        <v>3.2799</v>
      </c>
      <c r="C116" s="131">
        <v>3.9695</v>
      </c>
      <c r="D116" s="126">
        <v>2.7586</v>
      </c>
      <c r="H116" s="124">
        <v>40695</v>
      </c>
      <c r="I116" s="133">
        <v>0.0011</v>
      </c>
      <c r="J116" s="133">
        <f t="shared" si="1"/>
        <v>0.0138</v>
      </c>
      <c r="K116" s="134">
        <f t="shared" si="0"/>
        <v>0.003</v>
      </c>
      <c r="L116" s="193">
        <v>0.0461</v>
      </c>
      <c r="Q116" s="124">
        <v>40695</v>
      </c>
      <c r="R116" s="142">
        <v>0.0199</v>
      </c>
      <c r="V116" s="124">
        <v>40695</v>
      </c>
      <c r="W116" s="223">
        <v>0.5236</v>
      </c>
    </row>
    <row r="117" spans="1:23" ht="15.75">
      <c r="A117" s="124">
        <v>40725</v>
      </c>
      <c r="B117" s="131">
        <v>3.3824</v>
      </c>
      <c r="C117" s="131">
        <v>3.9907</v>
      </c>
      <c r="D117" s="126">
        <v>2.7911</v>
      </c>
      <c r="H117" s="124">
        <v>40725</v>
      </c>
      <c r="I117" s="133">
        <v>0.0011</v>
      </c>
      <c r="J117" s="133">
        <v>0.0154</v>
      </c>
      <c r="K117" s="134">
        <f t="shared" si="0"/>
        <v>0.003</v>
      </c>
      <c r="L117" s="193">
        <v>0.047</v>
      </c>
      <c r="Q117" s="124">
        <v>40725</v>
      </c>
      <c r="R117" s="142">
        <v>0.020699999999999996</v>
      </c>
      <c r="V117" s="124">
        <v>40725</v>
      </c>
      <c r="W117" s="223">
        <v>0.5282</v>
      </c>
    </row>
    <row r="118" spans="1:23" ht="15.75">
      <c r="A118" s="124">
        <v>40756</v>
      </c>
      <c r="B118" s="131">
        <v>3.6894</v>
      </c>
      <c r="C118" s="131">
        <v>4.1232</v>
      </c>
      <c r="D118" s="126">
        <v>2.877</v>
      </c>
      <c r="H118" s="124">
        <v>40756</v>
      </c>
      <c r="I118" s="133">
        <v>0.0011</v>
      </c>
      <c r="J118" s="133">
        <f t="shared" si="1"/>
        <v>0.0154</v>
      </c>
      <c r="K118" s="134">
        <f t="shared" si="0"/>
        <v>0.003</v>
      </c>
      <c r="L118" s="193">
        <v>0.0472</v>
      </c>
      <c r="Q118" s="124">
        <v>40756</v>
      </c>
      <c r="R118" s="142">
        <v>0.019900000000000008</v>
      </c>
      <c r="V118" s="124">
        <v>40756</v>
      </c>
      <c r="W118" s="223">
        <v>0.5282</v>
      </c>
    </row>
    <row r="119" spans="1:23" ht="15.75">
      <c r="A119" s="124">
        <v>40787</v>
      </c>
      <c r="B119" s="131">
        <v>3.6193</v>
      </c>
      <c r="C119" s="131">
        <v>4.3332</v>
      </c>
      <c r="D119" s="126">
        <v>3.1429</v>
      </c>
      <c r="H119" s="124">
        <v>40787</v>
      </c>
      <c r="I119" s="133">
        <v>0.0001</v>
      </c>
      <c r="J119" s="133">
        <f t="shared" si="1"/>
        <v>0.0154</v>
      </c>
      <c r="K119" s="134">
        <f t="shared" si="0"/>
        <v>0.003</v>
      </c>
      <c r="L119" s="193">
        <v>0.0475</v>
      </c>
      <c r="Q119" s="124">
        <v>40787</v>
      </c>
      <c r="R119" s="142">
        <v>0.0199</v>
      </c>
      <c r="V119" s="124">
        <v>40787</v>
      </c>
      <c r="W119" s="223">
        <v>0.5266</v>
      </c>
    </row>
    <row r="120" spans="1:23" ht="15.75">
      <c r="A120" s="124">
        <v>40817</v>
      </c>
      <c r="B120" s="131">
        <v>3.5441</v>
      </c>
      <c r="C120" s="131">
        <v>4.3562</v>
      </c>
      <c r="D120" s="126">
        <v>3.1769</v>
      </c>
      <c r="H120" s="124">
        <v>40817</v>
      </c>
      <c r="I120" s="133">
        <v>0.0001</v>
      </c>
      <c r="J120" s="133">
        <f t="shared" si="1"/>
        <v>0.0154</v>
      </c>
      <c r="K120" s="134">
        <f t="shared" si="0"/>
        <v>0.003</v>
      </c>
      <c r="L120" s="193">
        <v>0.048</v>
      </c>
      <c r="Q120" s="124">
        <v>40817</v>
      </c>
      <c r="R120" s="142">
        <v>0.020099999999999993</v>
      </c>
      <c r="V120" s="124">
        <v>40817</v>
      </c>
      <c r="W120" s="223">
        <v>0.516</v>
      </c>
    </row>
    <row r="121" spans="1:23" ht="15.75">
      <c r="A121" s="124">
        <v>40848</v>
      </c>
      <c r="B121" s="131">
        <v>3.5934</v>
      </c>
      <c r="C121" s="131">
        <v>4.4239</v>
      </c>
      <c r="D121" s="126">
        <v>3.2609</v>
      </c>
      <c r="H121" s="124">
        <v>40848</v>
      </c>
      <c r="I121" s="133">
        <v>0.0001</v>
      </c>
      <c r="J121" s="133">
        <f t="shared" si="1"/>
        <v>0.0154</v>
      </c>
      <c r="K121" s="134">
        <v>0.0043</v>
      </c>
      <c r="L121" s="193">
        <v>0.0494</v>
      </c>
      <c r="Q121" s="124">
        <v>40848</v>
      </c>
      <c r="R121" s="142">
        <v>0.019199999999999988</v>
      </c>
      <c r="V121" s="124">
        <v>40848</v>
      </c>
      <c r="W121" s="223">
        <v>0.5055</v>
      </c>
    </row>
    <row r="122" spans="1:23" ht="15.75">
      <c r="A122" s="124">
        <v>40878</v>
      </c>
      <c r="B122" s="131">
        <v>3.6468</v>
      </c>
      <c r="C122" s="131">
        <v>4.4766</v>
      </c>
      <c r="D122" s="126">
        <v>3.3959</v>
      </c>
      <c r="H122" s="124">
        <v>40878</v>
      </c>
      <c r="I122" s="133">
        <v>0.0001</v>
      </c>
      <c r="J122" s="133">
        <f t="shared" si="1"/>
        <v>0.0154</v>
      </c>
      <c r="K122" s="134">
        <v>0.0053</v>
      </c>
      <c r="L122" s="193">
        <v>0.0498</v>
      </c>
      <c r="Q122" s="124">
        <v>40878</v>
      </c>
      <c r="R122" s="142">
        <v>0.019700000000000002</v>
      </c>
      <c r="V122" s="124">
        <v>40878</v>
      </c>
      <c r="W122" s="223">
        <v>0.4995</v>
      </c>
    </row>
    <row r="123" spans="1:23" ht="15.75">
      <c r="A123" s="124">
        <v>40909</v>
      </c>
      <c r="B123" s="131">
        <v>3.6135</v>
      </c>
      <c r="C123" s="131">
        <v>4.3775</v>
      </c>
      <c r="D123" s="126">
        <v>3.3884</v>
      </c>
      <c r="H123" s="124">
        <v>40909</v>
      </c>
      <c r="I123" s="133">
        <v>0.0001</v>
      </c>
      <c r="J123" s="133">
        <v>0.0137</v>
      </c>
      <c r="K123" s="134">
        <f t="shared" si="0"/>
        <v>0.0053</v>
      </c>
      <c r="L123" s="193">
        <v>0.0499</v>
      </c>
      <c r="Q123" s="124">
        <v>40909</v>
      </c>
      <c r="R123" s="142">
        <v>0.0194</v>
      </c>
      <c r="V123" s="124">
        <v>40909</v>
      </c>
      <c r="W123" s="223">
        <v>0.4891</v>
      </c>
    </row>
    <row r="124" spans="1:23" ht="15.75">
      <c r="A124" s="124">
        <v>40940</v>
      </c>
      <c r="B124" s="131">
        <v>3.466</v>
      </c>
      <c r="C124" s="131">
        <v>4.184</v>
      </c>
      <c r="D124" s="126">
        <v>3.1608</v>
      </c>
      <c r="H124" s="124">
        <v>40940</v>
      </c>
      <c r="I124" s="133">
        <v>0.0001</v>
      </c>
      <c r="J124" s="133">
        <v>0.0113</v>
      </c>
      <c r="K124" s="134">
        <f t="shared" si="0"/>
        <v>0.0053</v>
      </c>
      <c r="L124" s="193">
        <v>0.0497</v>
      </c>
      <c r="Q124" s="124">
        <v>40940</v>
      </c>
      <c r="R124" s="142">
        <v>0.020300000000000012</v>
      </c>
      <c r="V124" s="124">
        <v>40940</v>
      </c>
      <c r="W124" s="223">
        <v>0.4831</v>
      </c>
    </row>
    <row r="125" spans="1:23" ht="15.75">
      <c r="A125" s="124">
        <v>40969</v>
      </c>
      <c r="B125" s="131">
        <v>3.43</v>
      </c>
      <c r="C125" s="131">
        <v>4.137</v>
      </c>
      <c r="D125" s="126">
        <v>3.132</v>
      </c>
      <c r="H125" s="124">
        <v>40969</v>
      </c>
      <c r="I125" s="133">
        <v>0.0001</v>
      </c>
      <c r="J125" s="133">
        <v>0.0099</v>
      </c>
      <c r="K125" s="134">
        <f t="shared" si="0"/>
        <v>0.0053</v>
      </c>
      <c r="L125" s="193">
        <v>0.0495</v>
      </c>
      <c r="Q125" s="124">
        <v>40969</v>
      </c>
      <c r="R125" s="142">
        <v>0.019599999999999992</v>
      </c>
      <c r="V125" s="124">
        <v>40969</v>
      </c>
      <c r="W125" s="223">
        <v>0.4757</v>
      </c>
    </row>
    <row r="126" spans="1:23" ht="15.75">
      <c r="A126" s="124">
        <v>41000</v>
      </c>
      <c r="B126" s="131">
        <v>3.4736</v>
      </c>
      <c r="C126" s="131">
        <v>4.1756</v>
      </c>
      <c r="D126" s="126">
        <v>3.1727</v>
      </c>
      <c r="H126" s="124">
        <v>41000</v>
      </c>
      <c r="I126" s="133">
        <v>0.0011</v>
      </c>
      <c r="J126" s="133">
        <v>0.0078</v>
      </c>
      <c r="K126" s="134">
        <f t="shared" si="0"/>
        <v>0.0053</v>
      </c>
      <c r="L126" s="193">
        <v>0.0494</v>
      </c>
      <c r="Q126" s="124">
        <v>41000</v>
      </c>
      <c r="R126" s="142">
        <v>0.019999999999999997</v>
      </c>
      <c r="V126" s="124">
        <v>41000</v>
      </c>
      <c r="W126" s="223">
        <v>0.4669</v>
      </c>
    </row>
    <row r="127" spans="1:23" ht="15.75">
      <c r="A127" s="124">
        <v>41030</v>
      </c>
      <c r="B127" s="131">
        <v>3.57</v>
      </c>
      <c r="C127" s="131">
        <v>4.2884</v>
      </c>
      <c r="D127" s="126">
        <v>3.3472</v>
      </c>
      <c r="H127" s="124">
        <v>41030</v>
      </c>
      <c r="I127" s="133">
        <v>0.0011</v>
      </c>
      <c r="J127" s="133">
        <f t="shared" si="1"/>
        <v>0.0078</v>
      </c>
      <c r="K127" s="134">
        <f t="shared" si="0"/>
        <v>0.0053</v>
      </c>
      <c r="L127" s="193">
        <v>0.0505</v>
      </c>
      <c r="Q127" s="124">
        <v>41030</v>
      </c>
      <c r="R127" s="142">
        <v>0.0186</v>
      </c>
      <c r="V127" s="124">
        <v>41030</v>
      </c>
      <c r="W127" s="223">
        <v>0.464</v>
      </c>
    </row>
    <row r="128" spans="1:23" ht="15.75">
      <c r="A128" s="124">
        <v>41061</v>
      </c>
      <c r="B128" s="131">
        <v>3.5865</v>
      </c>
      <c r="C128" s="131">
        <v>4.3072</v>
      </c>
      <c r="D128" s="126">
        <v>3.4399</v>
      </c>
      <c r="H128" s="124">
        <v>41061</v>
      </c>
      <c r="I128" s="133">
        <v>0.0011</v>
      </c>
      <c r="J128" s="133">
        <v>0.0067</v>
      </c>
      <c r="K128" s="134">
        <f t="shared" si="0"/>
        <v>0.0053</v>
      </c>
      <c r="L128" s="193">
        <v>0.0512</v>
      </c>
      <c r="Q128" s="124">
        <v>41061</v>
      </c>
      <c r="R128" s="142">
        <v>0.019200000000000002</v>
      </c>
      <c r="V128" s="124">
        <v>41061</v>
      </c>
      <c r="W128" s="223">
        <v>0.4611</v>
      </c>
    </row>
    <row r="129" spans="1:23" ht="15.75">
      <c r="A129" s="124">
        <v>41091</v>
      </c>
      <c r="B129" s="131">
        <v>3.4884</v>
      </c>
      <c r="C129" s="131">
        <v>4.1896</v>
      </c>
      <c r="D129" s="126">
        <v>3.4061</v>
      </c>
      <c r="H129" s="124">
        <v>41091</v>
      </c>
      <c r="I129" s="133">
        <v>0.0011</v>
      </c>
      <c r="J129" s="133">
        <f t="shared" si="1"/>
        <v>0.0067</v>
      </c>
      <c r="K129" s="134">
        <f t="shared" si="0"/>
        <v>0.0053</v>
      </c>
      <c r="L129" s="193">
        <v>0.0513</v>
      </c>
      <c r="Q129" s="124">
        <v>41091</v>
      </c>
      <c r="R129" s="142">
        <v>0.019500000000000003</v>
      </c>
      <c r="V129" s="124">
        <v>41091</v>
      </c>
      <c r="W129" s="223">
        <v>0.4684</v>
      </c>
    </row>
    <row r="130" spans="1:23" ht="15.75">
      <c r="A130" s="124">
        <v>41122</v>
      </c>
      <c r="B130" s="131">
        <v>3.4064</v>
      </c>
      <c r="C130" s="131">
        <v>4.0912</v>
      </c>
      <c r="D130" s="126">
        <v>3.3021</v>
      </c>
      <c r="H130" s="124">
        <v>41122</v>
      </c>
      <c r="I130" s="133">
        <v>0.0011</v>
      </c>
      <c r="J130" s="133">
        <v>0.004</v>
      </c>
      <c r="K130" s="134">
        <f t="shared" si="0"/>
        <v>0.0053</v>
      </c>
      <c r="L130" s="193">
        <v>0.051</v>
      </c>
      <c r="Q130" s="124">
        <v>41122</v>
      </c>
      <c r="R130" s="142">
        <v>0.019900000000000008</v>
      </c>
      <c r="V130" s="124">
        <v>41122</v>
      </c>
      <c r="W130" s="223">
        <v>0.4728</v>
      </c>
    </row>
    <row r="131" spans="1:23" ht="15.75">
      <c r="A131" s="124">
        <v>41153</v>
      </c>
      <c r="B131" s="131">
        <v>3.4168</v>
      </c>
      <c r="C131" s="131">
        <v>4.1314</v>
      </c>
      <c r="D131" s="126">
        <v>3.2154</v>
      </c>
      <c r="H131" s="124">
        <v>41153</v>
      </c>
      <c r="I131" s="133">
        <v>0.0011</v>
      </c>
      <c r="J131" s="133">
        <v>0.0028</v>
      </c>
      <c r="K131" s="134">
        <v>0.0042</v>
      </c>
      <c r="L131" s="193">
        <v>0.0495</v>
      </c>
      <c r="Q131" s="124">
        <v>41153</v>
      </c>
      <c r="R131" s="142">
        <v>0.020900000000000002</v>
      </c>
      <c r="V131" s="124">
        <v>41153</v>
      </c>
      <c r="W131" s="223">
        <v>0.4714</v>
      </c>
    </row>
    <row r="132" spans="1:23" ht="15.75">
      <c r="A132" s="124">
        <v>41183</v>
      </c>
      <c r="B132" s="131">
        <v>3.3965</v>
      </c>
      <c r="C132" s="131">
        <v>4.1091</v>
      </c>
      <c r="D132" s="126">
        <v>3.1672</v>
      </c>
      <c r="H132" s="124">
        <v>41183</v>
      </c>
      <c r="I132" s="133">
        <v>0.0011</v>
      </c>
      <c r="J132" s="133">
        <f t="shared" si="1"/>
        <v>0.0028</v>
      </c>
      <c r="K132" s="134">
        <f t="shared" si="0"/>
        <v>0.0042</v>
      </c>
      <c r="L132" s="193">
        <v>0.0482</v>
      </c>
      <c r="Q132" s="124">
        <v>41183</v>
      </c>
      <c r="R132" s="142">
        <v>0.0211</v>
      </c>
      <c r="V132" s="124">
        <v>41183</v>
      </c>
      <c r="W132" s="223">
        <v>0.4655</v>
      </c>
    </row>
    <row r="133" spans="1:23" ht="15.75">
      <c r="A133" s="124">
        <v>41214</v>
      </c>
      <c r="B133" s="131">
        <v>3.431</v>
      </c>
      <c r="C133" s="131">
        <v>4.1354</v>
      </c>
      <c r="D133" s="126">
        <v>3.2237</v>
      </c>
      <c r="H133" s="124">
        <v>41214</v>
      </c>
      <c r="I133" s="133">
        <v>0.0011</v>
      </c>
      <c r="J133" s="133">
        <f t="shared" si="1"/>
        <v>0.0028</v>
      </c>
      <c r="K133" s="134">
        <v>0.0031</v>
      </c>
      <c r="L133" s="193">
        <v>0.0462</v>
      </c>
      <c r="Q133" s="124">
        <v>41214</v>
      </c>
      <c r="R133" s="142">
        <v>0.022</v>
      </c>
      <c r="V133" s="124">
        <v>41214</v>
      </c>
      <c r="W133" s="223">
        <v>0.4641</v>
      </c>
    </row>
    <row r="134" spans="1:23" ht="15.75">
      <c r="A134" s="124">
        <v>41244</v>
      </c>
      <c r="B134" s="131">
        <v>3.3871</v>
      </c>
      <c r="C134" s="131">
        <v>4.0938</v>
      </c>
      <c r="D134" s="126">
        <v>3.123</v>
      </c>
      <c r="H134" s="124">
        <v>41244</v>
      </c>
      <c r="I134" s="133">
        <v>0.0011</v>
      </c>
      <c r="J134" s="133">
        <f t="shared" si="1"/>
        <v>0.0028</v>
      </c>
      <c r="K134" s="134">
        <f t="shared" si="0"/>
        <v>0.0031</v>
      </c>
      <c r="L134" s="193">
        <v>0.0426</v>
      </c>
      <c r="Q134" s="124">
        <v>41244</v>
      </c>
      <c r="R134" s="142">
        <v>0.0232</v>
      </c>
      <c r="V134" s="124">
        <v>41244</v>
      </c>
      <c r="W134" s="223">
        <v>0.4626</v>
      </c>
    </row>
    <row r="135" spans="1:23" ht="15.75">
      <c r="A135" s="124">
        <v>41275</v>
      </c>
      <c r="B135" s="131">
        <v>3.3679</v>
      </c>
      <c r="C135" s="131">
        <v>4.1369</v>
      </c>
      <c r="D135" s="126">
        <v>3.1145</v>
      </c>
      <c r="H135" s="124">
        <v>41275</v>
      </c>
      <c r="I135" s="133">
        <v>0.0001</v>
      </c>
      <c r="J135" s="133">
        <f t="shared" si="1"/>
        <v>0.0028</v>
      </c>
      <c r="K135" s="134">
        <f t="shared" si="0"/>
        <v>0.0031</v>
      </c>
      <c r="L135" s="193">
        <v>0.0403</v>
      </c>
      <c r="Q135" s="124">
        <v>41275</v>
      </c>
      <c r="R135" s="142">
        <v>0.022999999999999993</v>
      </c>
      <c r="V135" s="124">
        <v>41275</v>
      </c>
      <c r="W135" s="223">
        <v>0.4611</v>
      </c>
    </row>
    <row r="136" spans="1:23" ht="15.75">
      <c r="A136" s="124">
        <v>41306</v>
      </c>
      <c r="B136" s="131">
        <v>3.3924</v>
      </c>
      <c r="C136" s="131">
        <v>4.1734</v>
      </c>
      <c r="D136" s="126">
        <v>3.1197</v>
      </c>
      <c r="H136" s="124">
        <v>41306</v>
      </c>
      <c r="I136" s="133">
        <v>0.0001</v>
      </c>
      <c r="J136" s="133">
        <f t="shared" si="1"/>
        <v>0.0028</v>
      </c>
      <c r="K136" s="134">
        <f t="shared" si="0"/>
        <v>0.0031</v>
      </c>
      <c r="L136" s="193">
        <v>0.038</v>
      </c>
      <c r="Q136" s="124">
        <v>41306</v>
      </c>
      <c r="R136" s="142">
        <v>0.0237</v>
      </c>
      <c r="V136" s="124">
        <v>41306</v>
      </c>
      <c r="W136" s="223">
        <v>0.4611</v>
      </c>
    </row>
    <row r="137" spans="1:23" ht="15.75">
      <c r="A137" s="124">
        <v>41334</v>
      </c>
      <c r="B137" s="131">
        <v>3.3908</v>
      </c>
      <c r="C137" s="131">
        <v>4.1581</v>
      </c>
      <c r="D137" s="126">
        <v>3.2058</v>
      </c>
      <c r="H137" s="124">
        <v>41334</v>
      </c>
      <c r="I137" s="133">
        <v>0.0001</v>
      </c>
      <c r="J137" s="133">
        <f t="shared" si="1"/>
        <v>0.0028</v>
      </c>
      <c r="K137" s="134">
        <f t="shared" si="0"/>
        <v>0.0031</v>
      </c>
      <c r="L137" s="193">
        <v>0.0348</v>
      </c>
      <c r="Q137" s="124">
        <v>41334</v>
      </c>
      <c r="R137" s="142">
        <v>0.024900000000000005</v>
      </c>
      <c r="V137" s="124">
        <v>41334</v>
      </c>
      <c r="W137" s="223">
        <v>0.4582</v>
      </c>
    </row>
    <row r="138" spans="1:23" ht="15.75">
      <c r="A138" s="124">
        <v>41365</v>
      </c>
      <c r="B138" s="131">
        <v>3.3946</v>
      </c>
      <c r="C138" s="131">
        <v>4.1409</v>
      </c>
      <c r="D138" s="126">
        <v>3.1825</v>
      </c>
      <c r="H138" s="124">
        <v>41365</v>
      </c>
      <c r="I138" s="133">
        <v>0.0001</v>
      </c>
      <c r="J138" s="133">
        <f t="shared" si="1"/>
        <v>0.0028</v>
      </c>
      <c r="K138" s="134">
        <f t="shared" si="0"/>
        <v>0.0031</v>
      </c>
      <c r="L138" s="193">
        <v>0.0329</v>
      </c>
      <c r="Q138" s="124">
        <v>41365</v>
      </c>
      <c r="R138" s="142">
        <v>0.024100000000000003</v>
      </c>
      <c r="V138" s="124">
        <v>41365</v>
      </c>
      <c r="W138" s="223">
        <v>0.4524</v>
      </c>
    </row>
    <row r="139" spans="1:23" ht="15.75">
      <c r="A139" s="124">
        <v>41395</v>
      </c>
      <c r="B139" s="131">
        <v>3.3653</v>
      </c>
      <c r="C139" s="131">
        <v>4.1759</v>
      </c>
      <c r="D139" s="126">
        <v>3.2149</v>
      </c>
      <c r="H139" s="124">
        <v>41395</v>
      </c>
      <c r="I139" s="133">
        <v>0.0001</v>
      </c>
      <c r="J139" s="133">
        <f t="shared" si="1"/>
        <v>0.0028</v>
      </c>
      <c r="K139" s="134">
        <f t="shared" si="0"/>
        <v>0.0031</v>
      </c>
      <c r="L139" s="193">
        <v>0.0286</v>
      </c>
      <c r="Q139" s="124">
        <v>41395</v>
      </c>
      <c r="R139" s="142">
        <v>0.025599999999999998</v>
      </c>
      <c r="V139" s="124">
        <v>41395</v>
      </c>
      <c r="W139" s="223">
        <v>0.4539</v>
      </c>
    </row>
    <row r="140" spans="1:23" ht="15.75">
      <c r="A140" s="124">
        <v>41426</v>
      </c>
      <c r="B140" s="131">
        <v>3.4775</v>
      </c>
      <c r="C140" s="131">
        <v>4.2865</v>
      </c>
      <c r="D140" s="126">
        <v>3.2512</v>
      </c>
      <c r="H140" s="124">
        <v>41426</v>
      </c>
      <c r="I140" s="133">
        <v>0.0001</v>
      </c>
      <c r="J140" s="133">
        <f t="shared" si="1"/>
        <v>0.0028</v>
      </c>
      <c r="K140" s="134">
        <f t="shared" si="0"/>
        <v>0.0031</v>
      </c>
      <c r="L140" s="193">
        <v>0.0274</v>
      </c>
      <c r="Q140" s="124">
        <v>41426</v>
      </c>
      <c r="R140" s="142">
        <v>0.023899999999999998</v>
      </c>
      <c r="V140" s="124">
        <v>41426</v>
      </c>
      <c r="W140" s="223">
        <v>0.4539</v>
      </c>
    </row>
    <row r="141" spans="1:23" ht="15.75">
      <c r="A141" s="124">
        <v>41456</v>
      </c>
      <c r="B141" s="131">
        <v>3.4582</v>
      </c>
      <c r="C141" s="131">
        <v>4.2756</v>
      </c>
      <c r="D141" s="126">
        <v>3.2688</v>
      </c>
      <c r="H141" s="124">
        <v>41456</v>
      </c>
      <c r="I141" s="133">
        <v>0.0001</v>
      </c>
      <c r="J141" s="133">
        <f t="shared" si="1"/>
        <v>0.0028</v>
      </c>
      <c r="K141" s="134">
        <f t="shared" si="0"/>
        <v>0.0031</v>
      </c>
      <c r="L141" s="193">
        <v>0.027</v>
      </c>
      <c r="Q141" s="124">
        <v>41456</v>
      </c>
      <c r="R141" s="142">
        <v>0.0232</v>
      </c>
      <c r="V141" s="124">
        <v>41456</v>
      </c>
      <c r="W141" s="223">
        <v>0.4495</v>
      </c>
    </row>
    <row r="142" spans="1:23" ht="15.75">
      <c r="A142" s="124">
        <v>41487</v>
      </c>
      <c r="B142" s="131">
        <v>3.4276</v>
      </c>
      <c r="C142" s="131">
        <v>4.2295</v>
      </c>
      <c r="D142" s="126">
        <v>3.1767</v>
      </c>
      <c r="H142" s="124">
        <v>41487</v>
      </c>
      <c r="I142" s="133">
        <v>0.0001</v>
      </c>
      <c r="J142" s="133">
        <f t="shared" si="1"/>
        <v>0.0028</v>
      </c>
      <c r="K142" s="134">
        <f t="shared" si="0"/>
        <v>0.0031</v>
      </c>
      <c r="L142" s="193">
        <v>0.027</v>
      </c>
      <c r="Q142" s="124">
        <v>41487</v>
      </c>
      <c r="R142" s="142">
        <v>0.0237</v>
      </c>
      <c r="V142" s="124">
        <v>41487</v>
      </c>
      <c r="W142" s="223">
        <v>0.4539</v>
      </c>
    </row>
    <row r="143" spans="1:23" ht="15.75">
      <c r="A143" s="124">
        <v>41518</v>
      </c>
      <c r="B143" s="131">
        <v>3.4349</v>
      </c>
      <c r="C143" s="131">
        <v>4.2376</v>
      </c>
      <c r="D143" s="126">
        <v>3.175</v>
      </c>
      <c r="H143" s="124">
        <v>41518</v>
      </c>
      <c r="I143" s="133">
        <v>0.0001</v>
      </c>
      <c r="J143" s="133">
        <f t="shared" si="1"/>
        <v>0.0028</v>
      </c>
      <c r="K143" s="134">
        <f t="shared" si="0"/>
        <v>0.0031</v>
      </c>
      <c r="L143" s="193">
        <v>0.0269</v>
      </c>
      <c r="Q143" s="124">
        <v>41518</v>
      </c>
      <c r="R143" s="142">
        <v>0.0242</v>
      </c>
      <c r="V143" s="124">
        <v>41518</v>
      </c>
      <c r="W143" s="223">
        <v>0.4524</v>
      </c>
    </row>
    <row r="144" spans="1:23" ht="15.75">
      <c r="A144" s="124">
        <v>41548</v>
      </c>
      <c r="B144" s="131">
        <v>3.4033</v>
      </c>
      <c r="C144" s="131">
        <v>4.1908</v>
      </c>
      <c r="D144" s="126">
        <v>3.0704</v>
      </c>
      <c r="H144" s="124">
        <v>41548</v>
      </c>
      <c r="I144" s="133">
        <v>0.0001</v>
      </c>
      <c r="J144" s="133">
        <f t="shared" si="1"/>
        <v>0.0028</v>
      </c>
      <c r="K144" s="134">
        <f t="shared" si="0"/>
        <v>0.0031</v>
      </c>
      <c r="L144" s="193">
        <v>0.0267</v>
      </c>
      <c r="Q144" s="124">
        <v>41548</v>
      </c>
      <c r="R144" s="142">
        <v>0.024200000000000003</v>
      </c>
      <c r="V144" s="124">
        <v>41548</v>
      </c>
      <c r="W144" s="223">
        <v>0.4495</v>
      </c>
    </row>
    <row r="145" spans="1:23" ht="15.75">
      <c r="A145" s="124">
        <v>41579</v>
      </c>
      <c r="B145" s="131">
        <v>3.3996</v>
      </c>
      <c r="C145" s="131">
        <v>4.1882</v>
      </c>
      <c r="D145" s="126">
        <v>3.0998</v>
      </c>
      <c r="H145" s="124">
        <v>41579</v>
      </c>
      <c r="I145" s="133">
        <v>0.0001</v>
      </c>
      <c r="J145" s="133">
        <f t="shared" si="1"/>
        <v>0.0028</v>
      </c>
      <c r="K145" s="134">
        <f t="shared" si="0"/>
        <v>0.0031</v>
      </c>
      <c r="L145" s="193">
        <v>0.0265</v>
      </c>
      <c r="Q145" s="124">
        <v>41579</v>
      </c>
      <c r="R145" s="142">
        <v>0.0244</v>
      </c>
      <c r="V145" s="124">
        <v>41579</v>
      </c>
      <c r="W145" s="223">
        <v>0.4524</v>
      </c>
    </row>
    <row r="146" spans="1:23" ht="15.75">
      <c r="A146" s="124">
        <v>41609</v>
      </c>
      <c r="B146" s="131">
        <v>3.4088</v>
      </c>
      <c r="C146" s="131">
        <v>4.1757</v>
      </c>
      <c r="D146" s="126">
        <v>3.0481</v>
      </c>
      <c r="H146" s="124">
        <v>41609</v>
      </c>
      <c r="I146" s="133">
        <v>0.0001</v>
      </c>
      <c r="J146" s="133">
        <f t="shared" si="1"/>
        <v>0.0028</v>
      </c>
      <c r="K146" s="134">
        <f t="shared" si="0"/>
        <v>0.0031</v>
      </c>
      <c r="L146" s="193">
        <v>0.0267</v>
      </c>
      <c r="Q146" s="124">
        <v>41609</v>
      </c>
      <c r="R146" s="142">
        <v>0.0244</v>
      </c>
      <c r="V146" s="124">
        <v>41609</v>
      </c>
      <c r="W146" s="223">
        <v>0.451</v>
      </c>
    </row>
    <row r="147" spans="1:23" ht="15.75">
      <c r="A147" s="124">
        <v>41640</v>
      </c>
      <c r="B147" s="131">
        <v>3.3935</v>
      </c>
      <c r="C147" s="131">
        <v>4.1776</v>
      </c>
      <c r="D147" s="126">
        <v>3.065</v>
      </c>
      <c r="H147" s="124">
        <v>41640</v>
      </c>
      <c r="I147" s="133">
        <v>0.0001</v>
      </c>
      <c r="J147" s="133">
        <f t="shared" si="1"/>
        <v>0.0028</v>
      </c>
      <c r="K147" s="134">
        <f t="shared" si="0"/>
        <v>0.0031</v>
      </c>
      <c r="L147" s="193">
        <v>0.027</v>
      </c>
      <c r="Q147" s="124">
        <v>41640</v>
      </c>
      <c r="R147" s="142">
        <v>0.0247</v>
      </c>
      <c r="V147" s="124">
        <v>41640</v>
      </c>
      <c r="W147" s="223">
        <v>0.4495</v>
      </c>
    </row>
    <row r="148" spans="1:23" ht="15.75">
      <c r="A148" s="124">
        <v>41671</v>
      </c>
      <c r="B148" s="131">
        <v>3.4205</v>
      </c>
      <c r="C148" s="131">
        <v>4.1786</v>
      </c>
      <c r="D148" s="126">
        <v>3.0613</v>
      </c>
      <c r="H148" s="124">
        <v>41671</v>
      </c>
      <c r="I148" s="133">
        <v>0.0001</v>
      </c>
      <c r="J148" s="133">
        <f t="shared" si="1"/>
        <v>0.0028</v>
      </c>
      <c r="K148" s="134">
        <f t="shared" si="0"/>
        <v>0.0031</v>
      </c>
      <c r="L148" s="193">
        <v>0.0271</v>
      </c>
      <c r="Q148" s="124">
        <v>41671</v>
      </c>
      <c r="R148" s="142">
        <v>0.024399999999999998</v>
      </c>
      <c r="V148" s="124">
        <v>41671</v>
      </c>
      <c r="W148" s="223">
        <v>0.4481</v>
      </c>
    </row>
    <row r="149" spans="1:23" ht="15.75">
      <c r="A149" s="124">
        <v>41699</v>
      </c>
      <c r="B149" s="131">
        <v>3.4471</v>
      </c>
      <c r="C149" s="131">
        <v>4.1972</v>
      </c>
      <c r="D149" s="126">
        <v>3.0378</v>
      </c>
      <c r="H149" s="124">
        <v>41699</v>
      </c>
      <c r="I149" s="133">
        <v>0.0001</v>
      </c>
      <c r="J149" s="133">
        <f t="shared" si="1"/>
        <v>0.0028</v>
      </c>
      <c r="K149" s="134">
        <f t="shared" si="0"/>
        <v>0.0031</v>
      </c>
      <c r="L149" s="193">
        <v>0.0271</v>
      </c>
      <c r="Q149" s="124">
        <v>41699</v>
      </c>
      <c r="R149" s="142">
        <v>0.024800000000000003</v>
      </c>
      <c r="V149" s="124">
        <v>41699</v>
      </c>
      <c r="W149" s="223">
        <v>0.4466</v>
      </c>
    </row>
    <row r="150" spans="1:23" ht="15.75">
      <c r="A150" s="124">
        <v>41730</v>
      </c>
      <c r="B150" s="131">
        <v>3.4317</v>
      </c>
      <c r="C150" s="131">
        <v>4.1841</v>
      </c>
      <c r="D150" s="126">
        <v>3.0293</v>
      </c>
      <c r="H150" s="124">
        <v>41730</v>
      </c>
      <c r="I150" s="133">
        <v>0.0001</v>
      </c>
      <c r="J150" s="133">
        <f t="shared" si="1"/>
        <v>0.0028</v>
      </c>
      <c r="K150" s="134">
        <f t="shared" si="0"/>
        <v>0.0031</v>
      </c>
      <c r="L150" s="193">
        <v>0.0272</v>
      </c>
      <c r="Q150" s="124">
        <v>41730</v>
      </c>
      <c r="R150" s="142">
        <v>0.0252</v>
      </c>
      <c r="V150" s="124">
        <v>41730</v>
      </c>
      <c r="W150" s="223">
        <v>0.4466</v>
      </c>
    </row>
    <row r="151" spans="1:23" ht="15.75">
      <c r="A151" s="124">
        <v>41760</v>
      </c>
      <c r="B151" s="131">
        <v>3.4244</v>
      </c>
      <c r="C151" s="131">
        <v>4.179</v>
      </c>
      <c r="D151" s="126">
        <v>3.0415</v>
      </c>
      <c r="H151" s="124">
        <v>41760</v>
      </c>
      <c r="I151" s="133">
        <v>0.0001</v>
      </c>
      <c r="J151" s="133">
        <f t="shared" si="1"/>
        <v>0.0028</v>
      </c>
      <c r="K151" s="134">
        <f t="shared" si="0"/>
        <v>0.0031</v>
      </c>
      <c r="L151" s="193">
        <v>0.0272</v>
      </c>
      <c r="Q151" s="124">
        <v>41760</v>
      </c>
      <c r="R151" s="142">
        <v>0.0259</v>
      </c>
      <c r="V151" s="124">
        <v>41760</v>
      </c>
      <c r="W151" s="223">
        <v>0.4481</v>
      </c>
    </row>
    <row r="152" spans="1:23" ht="15.75">
      <c r="A152" s="124">
        <v>41791</v>
      </c>
      <c r="B152" s="131">
        <v>3.3965</v>
      </c>
      <c r="C152" s="131">
        <v>4.1369</v>
      </c>
      <c r="D152" s="126">
        <v>3.0425</v>
      </c>
      <c r="H152" s="124">
        <v>41791</v>
      </c>
      <c r="I152" s="133">
        <v>0.0001</v>
      </c>
      <c r="J152" s="133">
        <f t="shared" si="1"/>
        <v>0.0028</v>
      </c>
      <c r="K152" s="134">
        <f t="shared" si="0"/>
        <v>0.0031</v>
      </c>
      <c r="L152" s="193">
        <v>0.0269</v>
      </c>
      <c r="Q152" s="124">
        <v>41791</v>
      </c>
      <c r="R152" s="142">
        <v>0.0266</v>
      </c>
      <c r="V152" s="124">
        <v>41791</v>
      </c>
      <c r="W152" s="223">
        <v>0.4481</v>
      </c>
    </row>
    <row r="153" spans="1:23" ht="15.75">
      <c r="A153" s="124">
        <v>41821</v>
      </c>
      <c r="B153" s="131">
        <v>3.4114</v>
      </c>
      <c r="C153" s="131">
        <v>4.1447</v>
      </c>
      <c r="D153" s="126">
        <v>3.0598</v>
      </c>
      <c r="H153" s="124">
        <v>41821</v>
      </c>
      <c r="I153" s="133">
        <v>0.0001</v>
      </c>
      <c r="J153" s="133">
        <f t="shared" si="1"/>
        <v>0.0028</v>
      </c>
      <c r="K153" s="134">
        <f t="shared" si="0"/>
        <v>0.0031</v>
      </c>
      <c r="L153" s="193">
        <v>0.0268</v>
      </c>
      <c r="Q153" s="124">
        <v>41821</v>
      </c>
      <c r="R153" s="142">
        <v>0.027</v>
      </c>
      <c r="V153" s="124">
        <v>41821</v>
      </c>
      <c r="W153" s="223">
        <v>0.451</v>
      </c>
    </row>
    <row r="154" spans="1:23" ht="15.75">
      <c r="A154" s="124">
        <v>41852</v>
      </c>
      <c r="B154" s="131">
        <v>3.4602</v>
      </c>
      <c r="C154" s="131">
        <v>4.1932</v>
      </c>
      <c r="D154" s="126">
        <v>3.1482</v>
      </c>
      <c r="H154" s="124">
        <v>41852</v>
      </c>
      <c r="I154" s="133">
        <v>0.0001</v>
      </c>
      <c r="J154" s="133">
        <f t="shared" si="1"/>
        <v>0.0028</v>
      </c>
      <c r="K154" s="134">
        <f t="shared" si="0"/>
        <v>0.0031</v>
      </c>
      <c r="L154" s="193">
        <v>0.0265</v>
      </c>
      <c r="Q154" s="124">
        <v>41852</v>
      </c>
      <c r="R154" s="142">
        <v>0.0272</v>
      </c>
      <c r="V154" s="124">
        <v>41852</v>
      </c>
      <c r="W154" s="223">
        <v>0.4568</v>
      </c>
    </row>
    <row r="155" spans="1:23" ht="15.75">
      <c r="A155" s="124">
        <v>41883</v>
      </c>
      <c r="B155" s="131">
        <v>3.4695</v>
      </c>
      <c r="C155" s="131">
        <v>4.1901</v>
      </c>
      <c r="D155" s="126">
        <v>3.2475</v>
      </c>
      <c r="H155" s="124">
        <v>41883</v>
      </c>
      <c r="I155" s="133">
        <v>0.0001</v>
      </c>
      <c r="J155" s="133">
        <v>0.0017</v>
      </c>
      <c r="K155" s="134">
        <f t="shared" si="0"/>
        <v>0.0031</v>
      </c>
      <c r="L155" s="193">
        <v>0.0245</v>
      </c>
      <c r="Q155" s="124">
        <v>41883</v>
      </c>
      <c r="R155" s="142">
        <v>0.028199999999999996</v>
      </c>
      <c r="V155" s="124">
        <v>41883</v>
      </c>
      <c r="W155" s="223">
        <v>0.4568</v>
      </c>
    </row>
    <row r="156" spans="1:23" ht="15.75">
      <c r="A156" s="124">
        <v>41913</v>
      </c>
      <c r="B156" s="131">
        <v>3.4814</v>
      </c>
      <c r="C156" s="131">
        <v>4.205</v>
      </c>
      <c r="D156" s="126">
        <v>3.3152</v>
      </c>
      <c r="H156" s="124">
        <v>41913</v>
      </c>
      <c r="I156" s="133">
        <v>0.0001</v>
      </c>
      <c r="J156" s="133">
        <f t="shared" si="1"/>
        <v>0.0017</v>
      </c>
      <c r="K156" s="134">
        <f t="shared" si="0"/>
        <v>0.0031</v>
      </c>
      <c r="L156" s="193">
        <v>0.0207</v>
      </c>
      <c r="Q156" s="124">
        <v>41913</v>
      </c>
      <c r="R156" s="142">
        <v>0.028599999999999997</v>
      </c>
      <c r="V156" s="124">
        <v>41913</v>
      </c>
      <c r="W156" s="223">
        <v>0.4568</v>
      </c>
    </row>
    <row r="157" spans="1:23" ht="15.75">
      <c r="A157" s="124">
        <v>41944</v>
      </c>
      <c r="B157" s="131">
        <v>3.5011</v>
      </c>
      <c r="C157" s="131">
        <v>4.2115</v>
      </c>
      <c r="D157" s="126">
        <v>3.3777</v>
      </c>
      <c r="H157" s="124">
        <v>41944</v>
      </c>
      <c r="I157" s="133">
        <v>0.0001</v>
      </c>
      <c r="J157" s="133">
        <f t="shared" si="1"/>
        <v>0.0017</v>
      </c>
      <c r="K157" s="134">
        <f t="shared" si="0"/>
        <v>0.0031</v>
      </c>
      <c r="L157" s="193">
        <v>0.0203</v>
      </c>
      <c r="Q157" s="124">
        <v>41944</v>
      </c>
      <c r="R157" s="142">
        <v>0.028200000000000003</v>
      </c>
      <c r="V157" s="124">
        <v>41944</v>
      </c>
      <c r="W157" s="223">
        <v>0.4597</v>
      </c>
    </row>
    <row r="158" spans="1:23" ht="15.75">
      <c r="A158" s="124">
        <v>41974</v>
      </c>
      <c r="B158" s="131">
        <v>3.5123</v>
      </c>
      <c r="C158" s="131">
        <v>4.2233</v>
      </c>
      <c r="D158" s="126">
        <v>3.4287</v>
      </c>
      <c r="H158" s="124">
        <v>41974</v>
      </c>
      <c r="I158" s="133">
        <v>0.0001</v>
      </c>
      <c r="J158" s="133">
        <f t="shared" si="1"/>
        <v>0.0017</v>
      </c>
      <c r="K158" s="134">
        <f t="shared" si="0"/>
        <v>0.0031</v>
      </c>
      <c r="L158" s="193">
        <v>0.0206</v>
      </c>
      <c r="Q158" s="124">
        <v>41974</v>
      </c>
      <c r="R158" s="142">
        <v>0.027499999999999997</v>
      </c>
      <c r="V158" s="124">
        <v>41974</v>
      </c>
      <c r="W158" s="223">
        <v>0.4641</v>
      </c>
    </row>
    <row r="159" spans="1:23" ht="15.75">
      <c r="A159" s="124">
        <v>42005</v>
      </c>
      <c r="B159" s="131">
        <v>3.9273</v>
      </c>
      <c r="C159" s="131">
        <v>4.2797</v>
      </c>
      <c r="D159" s="126">
        <v>3.6739</v>
      </c>
      <c r="H159" s="124">
        <v>42005</v>
      </c>
      <c r="I159" s="133">
        <v>0.0001</v>
      </c>
      <c r="J159" s="133">
        <f t="shared" si="1"/>
        <v>0.0017</v>
      </c>
      <c r="K159" s="134">
        <f aca="true" t="shared" si="2" ref="K159:K160">K158</f>
        <v>0.0031</v>
      </c>
      <c r="L159" s="193">
        <v>0.0203</v>
      </c>
      <c r="Q159" s="124">
        <v>42005</v>
      </c>
      <c r="R159" s="142">
        <v>0.028000000000000004</v>
      </c>
      <c r="V159" s="124">
        <v>42005</v>
      </c>
      <c r="W159" s="223">
        <v>0.4671</v>
      </c>
    </row>
    <row r="160" spans="1:23" ht="15.75">
      <c r="A160" s="124">
        <v>42036</v>
      </c>
      <c r="B160" s="131">
        <v>3.9322</v>
      </c>
      <c r="C160" s="131">
        <v>4.1776</v>
      </c>
      <c r="D160" s="126">
        <v>3.6766</v>
      </c>
      <c r="H160" s="124">
        <v>42036</v>
      </c>
      <c r="I160" s="135">
        <v>-0.0086</v>
      </c>
      <c r="J160" s="133">
        <v>0.0005</v>
      </c>
      <c r="K160" s="134">
        <f t="shared" si="2"/>
        <v>0.0031</v>
      </c>
      <c r="L160" s="193">
        <v>0.0192</v>
      </c>
      <c r="Q160" s="124">
        <v>42036</v>
      </c>
      <c r="R160" s="142">
        <v>0.027600000000000003</v>
      </c>
      <c r="V160" s="124">
        <v>42036</v>
      </c>
      <c r="W160" s="223">
        <v>0.4685</v>
      </c>
    </row>
    <row r="161" spans="1:23" ht="15.75">
      <c r="A161" s="124">
        <v>42064</v>
      </c>
      <c r="B161" s="131">
        <v>3.8912</v>
      </c>
      <c r="C161" s="131">
        <v>4.1278</v>
      </c>
      <c r="D161" s="126">
        <v>3.8138</v>
      </c>
      <c r="H161" s="124">
        <v>42064</v>
      </c>
      <c r="I161" s="135">
        <v>-0.0086</v>
      </c>
      <c r="J161" s="133">
        <f aca="true" t="shared" si="3" ref="J161:J222">J160</f>
        <v>0.0005</v>
      </c>
      <c r="K161" s="134">
        <f aca="true" t="shared" si="4" ref="K161:K165">K160</f>
        <v>0.0031</v>
      </c>
      <c r="L161" s="193">
        <v>0.0167</v>
      </c>
      <c r="Q161" s="124">
        <v>42064</v>
      </c>
      <c r="R161" s="142">
        <v>0.028200000000000003</v>
      </c>
      <c r="V161" s="124">
        <v>42064</v>
      </c>
      <c r="W161" s="223">
        <v>0.4656</v>
      </c>
    </row>
    <row r="162" spans="1:23" ht="15.75">
      <c r="A162" s="124">
        <v>42095</v>
      </c>
      <c r="B162" s="131">
        <v>3.8812</v>
      </c>
      <c r="C162" s="131">
        <v>4.0291</v>
      </c>
      <c r="D162" s="126">
        <v>3.7347</v>
      </c>
      <c r="H162" s="124">
        <v>42095</v>
      </c>
      <c r="I162" s="135">
        <v>-0.0086</v>
      </c>
      <c r="J162" s="133">
        <f t="shared" si="3"/>
        <v>0.0005</v>
      </c>
      <c r="K162" s="134">
        <f t="shared" si="4"/>
        <v>0.0031</v>
      </c>
      <c r="L162" s="193">
        <v>0.0165</v>
      </c>
      <c r="Q162" s="124">
        <v>42095</v>
      </c>
      <c r="R162" s="142">
        <v>0.026999999999999996</v>
      </c>
      <c r="V162" s="124">
        <v>42095</v>
      </c>
      <c r="W162" s="223">
        <v>0.4597</v>
      </c>
    </row>
    <row r="163" spans="1:23" ht="15.75">
      <c r="A163" s="124">
        <v>42125</v>
      </c>
      <c r="B163" s="131">
        <v>3.9211</v>
      </c>
      <c r="C163" s="131">
        <v>4.0783</v>
      </c>
      <c r="D163" s="126">
        <v>3.652</v>
      </c>
      <c r="H163" s="124">
        <v>42125</v>
      </c>
      <c r="I163" s="135">
        <v>-0.0086</v>
      </c>
      <c r="J163" s="133">
        <f t="shared" si="3"/>
        <v>0.0005</v>
      </c>
      <c r="K163" s="134">
        <f t="shared" si="4"/>
        <v>0.0031</v>
      </c>
      <c r="L163" s="193">
        <v>0.0167</v>
      </c>
      <c r="Q163" s="124">
        <v>42125</v>
      </c>
      <c r="R163" s="142">
        <v>0.0269</v>
      </c>
      <c r="V163" s="124">
        <v>42125</v>
      </c>
      <c r="W163" s="223">
        <v>0.4597</v>
      </c>
    </row>
    <row r="164" spans="1:23" ht="15.75">
      <c r="A164" s="124">
        <v>42156</v>
      </c>
      <c r="B164" s="131">
        <v>3.9817</v>
      </c>
      <c r="C164" s="131">
        <v>4.1597</v>
      </c>
      <c r="D164" s="126">
        <v>3.7103</v>
      </c>
      <c r="H164" s="124">
        <v>42156</v>
      </c>
      <c r="I164" s="135">
        <v>-0.0086</v>
      </c>
      <c r="J164" s="133">
        <f t="shared" si="3"/>
        <v>0.0005</v>
      </c>
      <c r="K164" s="134">
        <f t="shared" si="4"/>
        <v>0.0031</v>
      </c>
      <c r="L164" s="193">
        <v>0.017</v>
      </c>
      <c r="Q164" s="124">
        <v>42156</v>
      </c>
      <c r="R164" s="142">
        <v>0.0266</v>
      </c>
      <c r="V164" s="124">
        <v>42156</v>
      </c>
      <c r="W164" s="223">
        <v>0.4597</v>
      </c>
    </row>
    <row r="165" spans="1:23" ht="15.75">
      <c r="A165" s="124">
        <v>42186</v>
      </c>
      <c r="B165" s="131">
        <v>3.9627</v>
      </c>
      <c r="C165" s="131">
        <v>4.154</v>
      </c>
      <c r="D165" s="126">
        <v>3.7734</v>
      </c>
      <c r="H165" s="124">
        <v>42186</v>
      </c>
      <c r="I165" s="135">
        <v>-0.0074</v>
      </c>
      <c r="J165" s="133">
        <f t="shared" si="3"/>
        <v>0.0005</v>
      </c>
      <c r="K165" s="134">
        <f t="shared" si="4"/>
        <v>0.0031</v>
      </c>
      <c r="L165" s="193">
        <v>0.0172</v>
      </c>
      <c r="Q165" s="124">
        <v>42186</v>
      </c>
      <c r="R165" s="142">
        <v>0.027000000000000003</v>
      </c>
      <c r="V165" s="124">
        <v>42186</v>
      </c>
      <c r="W165" s="223">
        <v>0.4612</v>
      </c>
    </row>
    <row r="166" spans="1:23" ht="15.75">
      <c r="A166" s="124">
        <v>42217</v>
      </c>
      <c r="B166" s="131">
        <v>3.8929</v>
      </c>
      <c r="C166" s="131">
        <v>4.1936</v>
      </c>
      <c r="D166" s="126">
        <v>3.7685</v>
      </c>
      <c r="H166" s="124">
        <v>42217</v>
      </c>
      <c r="I166" s="135">
        <v>-0.0074</v>
      </c>
      <c r="J166" s="133">
        <f t="shared" si="3"/>
        <v>0.0005</v>
      </c>
      <c r="K166" s="134">
        <f aca="true" t="shared" si="5" ref="K166:K229">K165</f>
        <v>0.0031</v>
      </c>
      <c r="L166" s="193">
        <v>0.0172</v>
      </c>
      <c r="Q166" s="124">
        <v>42217</v>
      </c>
      <c r="R166" s="142">
        <v>0.0271</v>
      </c>
      <c r="V166" s="124">
        <v>42217</v>
      </c>
      <c r="W166" s="223">
        <v>0.4671</v>
      </c>
    </row>
    <row r="167" spans="1:23" ht="15.75">
      <c r="A167" s="124">
        <v>42248</v>
      </c>
      <c r="B167" s="131">
        <v>3.8605</v>
      </c>
      <c r="C167" s="131">
        <v>4.2169</v>
      </c>
      <c r="D167" s="126">
        <v>3.7513</v>
      </c>
      <c r="H167" s="124">
        <v>42248</v>
      </c>
      <c r="I167" s="135">
        <v>-0.0074</v>
      </c>
      <c r="J167" s="133">
        <f t="shared" si="3"/>
        <v>0.0005</v>
      </c>
      <c r="K167" s="134">
        <f t="shared" si="5"/>
        <v>0.0031</v>
      </c>
      <c r="L167" s="193">
        <v>0.0172</v>
      </c>
      <c r="Q167" s="124">
        <v>42248</v>
      </c>
      <c r="R167" s="142">
        <v>0.027299999999999998</v>
      </c>
      <c r="V167" s="124">
        <v>42248</v>
      </c>
      <c r="W167" s="223">
        <v>0.4715</v>
      </c>
    </row>
    <row r="168" spans="1:23" ht="15.75">
      <c r="A168" s="124">
        <v>42278</v>
      </c>
      <c r="B168" s="131">
        <v>3.9055</v>
      </c>
      <c r="C168" s="131">
        <v>4.246</v>
      </c>
      <c r="D168" s="126">
        <v>3.7807</v>
      </c>
      <c r="H168" s="124">
        <v>42278</v>
      </c>
      <c r="I168" s="135">
        <v>-0.0074</v>
      </c>
      <c r="J168" s="133">
        <f t="shared" si="3"/>
        <v>0.0005</v>
      </c>
      <c r="K168" s="134">
        <f t="shared" si="5"/>
        <v>0.0031</v>
      </c>
      <c r="L168" s="193">
        <v>0.0173</v>
      </c>
      <c r="Q168" s="124">
        <v>42278</v>
      </c>
      <c r="R168" s="142">
        <v>0.0275</v>
      </c>
      <c r="V168" s="124">
        <v>42278</v>
      </c>
      <c r="W168" s="223">
        <v>0.47</v>
      </c>
    </row>
    <row r="169" spans="1:23" ht="15.75">
      <c r="A169" s="124">
        <v>42309</v>
      </c>
      <c r="B169" s="131">
        <v>3.9239</v>
      </c>
      <c r="C169" s="131">
        <v>4.2503</v>
      </c>
      <c r="D169" s="126">
        <v>3.9571</v>
      </c>
      <c r="H169" s="124">
        <v>42309</v>
      </c>
      <c r="I169" s="135">
        <v>-0.0074</v>
      </c>
      <c r="J169" s="133">
        <v>0.0007</v>
      </c>
      <c r="K169" s="134">
        <f t="shared" si="5"/>
        <v>0.0031</v>
      </c>
      <c r="L169" s="193">
        <v>0.0173</v>
      </c>
      <c r="Q169" s="124">
        <v>42309</v>
      </c>
      <c r="R169" s="142">
        <v>0.0272</v>
      </c>
      <c r="V169" s="124">
        <v>42309</v>
      </c>
      <c r="W169" s="223">
        <v>0.4715</v>
      </c>
    </row>
    <row r="170" spans="1:23" ht="15.75">
      <c r="A170" s="124">
        <v>42339</v>
      </c>
      <c r="B170" s="131">
        <v>3.9613</v>
      </c>
      <c r="C170" s="131">
        <v>4.2905</v>
      </c>
      <c r="D170" s="126">
        <v>3.9417</v>
      </c>
      <c r="H170" s="124">
        <v>42339</v>
      </c>
      <c r="I170" s="135">
        <v>-0.0074</v>
      </c>
      <c r="J170" s="133">
        <f t="shared" si="3"/>
        <v>0.0007</v>
      </c>
      <c r="K170" s="134">
        <v>0.0041</v>
      </c>
      <c r="L170" s="193">
        <v>0.0172</v>
      </c>
      <c r="Q170" s="124">
        <v>42339</v>
      </c>
      <c r="R170" s="142">
        <v>0.027999999999999997</v>
      </c>
      <c r="V170" s="124">
        <v>42339</v>
      </c>
      <c r="W170" s="223">
        <v>0.4744</v>
      </c>
    </row>
    <row r="171" spans="1:23" ht="15.75">
      <c r="A171" s="124">
        <v>42370</v>
      </c>
      <c r="B171" s="131">
        <v>4.0176</v>
      </c>
      <c r="C171" s="131">
        <v>4.3935</v>
      </c>
      <c r="D171" s="126">
        <v>4.0397</v>
      </c>
      <c r="H171" s="124">
        <v>42370</v>
      </c>
      <c r="I171" s="135">
        <v>-0.0074</v>
      </c>
      <c r="J171" s="133">
        <f t="shared" si="3"/>
        <v>0.0007</v>
      </c>
      <c r="K171" s="134">
        <v>0.0061</v>
      </c>
      <c r="L171" s="193">
        <v>0.0171</v>
      </c>
      <c r="Q171" s="124">
        <v>42370</v>
      </c>
      <c r="R171" s="142">
        <v>0.028599999999999997</v>
      </c>
      <c r="V171" s="124">
        <v>42370</v>
      </c>
      <c r="W171" s="223">
        <v>0.4819</v>
      </c>
    </row>
    <row r="172" spans="1:23" ht="15.75">
      <c r="A172" s="124">
        <v>42401</v>
      </c>
      <c r="B172" s="126">
        <v>3.9895</v>
      </c>
      <c r="C172" s="126">
        <v>4.396</v>
      </c>
      <c r="D172" s="126">
        <v>3.9565</v>
      </c>
      <c r="H172" s="124">
        <v>42401</v>
      </c>
      <c r="I172" s="135">
        <v>-0.0074</v>
      </c>
      <c r="J172" s="133">
        <f t="shared" si="3"/>
        <v>0.0007</v>
      </c>
      <c r="K172" s="134">
        <f t="shared" si="5"/>
        <v>0.0061</v>
      </c>
      <c r="L172" s="193">
        <v>0.0169</v>
      </c>
      <c r="Q172" s="124">
        <v>42401</v>
      </c>
      <c r="R172" s="142">
        <v>0.029400000000000003</v>
      </c>
      <c r="V172" s="124">
        <v>42401</v>
      </c>
      <c r="W172" s="223">
        <v>0.4833</v>
      </c>
    </row>
    <row r="173" spans="1:23" ht="15.75">
      <c r="A173" s="124">
        <v>42430</v>
      </c>
      <c r="B173" s="126">
        <v>3.9311</v>
      </c>
      <c r="C173" s="126">
        <v>4.2934</v>
      </c>
      <c r="D173" s="126">
        <v>3.8644</v>
      </c>
      <c r="H173" s="124">
        <v>42430</v>
      </c>
      <c r="I173" s="135">
        <v>-0.0074</v>
      </c>
      <c r="J173" s="133">
        <v>0.002</v>
      </c>
      <c r="K173" s="134">
        <f t="shared" si="5"/>
        <v>0.0061</v>
      </c>
      <c r="L173" s="193">
        <v>0.0167</v>
      </c>
      <c r="Q173" s="124">
        <v>42430</v>
      </c>
      <c r="R173" s="142">
        <v>0.029699999999999997</v>
      </c>
      <c r="V173" s="124">
        <v>42430</v>
      </c>
      <c r="W173" s="223">
        <v>0.4819</v>
      </c>
    </row>
    <row r="174" spans="1:23" ht="15.75">
      <c r="A174" s="124">
        <v>42461</v>
      </c>
      <c r="B174" s="126">
        <v>3.9311</v>
      </c>
      <c r="C174" s="126">
        <v>4.3068</v>
      </c>
      <c r="D174" s="126">
        <v>3.7985</v>
      </c>
      <c r="H174" s="124">
        <v>42461</v>
      </c>
      <c r="I174" s="135">
        <v>-0.0074</v>
      </c>
      <c r="J174" s="133">
        <f t="shared" si="3"/>
        <v>0.002</v>
      </c>
      <c r="K174" s="134">
        <f t="shared" si="5"/>
        <v>0.0061</v>
      </c>
      <c r="L174" s="193">
        <v>0.0167</v>
      </c>
      <c r="Q174" s="124">
        <v>42461</v>
      </c>
      <c r="R174" s="142">
        <v>0.030699999999999998</v>
      </c>
      <c r="V174" s="124">
        <v>42461</v>
      </c>
      <c r="W174" s="223">
        <v>0.4774</v>
      </c>
    </row>
    <row r="175" spans="1:23" ht="15.75">
      <c r="A175" s="124">
        <v>42491</v>
      </c>
      <c r="B175" s="132">
        <v>3.9874</v>
      </c>
      <c r="C175" s="132">
        <v>4.4076</v>
      </c>
      <c r="D175" s="126">
        <v>3.8991</v>
      </c>
      <c r="H175" s="124">
        <v>42491</v>
      </c>
      <c r="I175" s="135">
        <v>-0.0074</v>
      </c>
      <c r="J175" s="133">
        <f t="shared" si="3"/>
        <v>0.002</v>
      </c>
      <c r="K175" s="134">
        <f t="shared" si="5"/>
        <v>0.0061</v>
      </c>
      <c r="L175" s="193">
        <v>0.0167</v>
      </c>
      <c r="Q175" s="124">
        <v>42491</v>
      </c>
      <c r="R175" s="142">
        <v>0.029699999999999997</v>
      </c>
      <c r="V175" s="124">
        <v>42491</v>
      </c>
      <c r="W175" s="223">
        <v>0.4759</v>
      </c>
    </row>
    <row r="176" spans="1:23" ht="15.75">
      <c r="A176" s="124">
        <v>42522</v>
      </c>
      <c r="B176" s="132">
        <v>4.0374</v>
      </c>
      <c r="C176" s="132">
        <v>4.4019</v>
      </c>
      <c r="D176" s="126">
        <v>3.92</v>
      </c>
      <c r="H176" s="124">
        <v>42522</v>
      </c>
      <c r="I176" s="135">
        <v>-0.0074</v>
      </c>
      <c r="J176" s="133">
        <f t="shared" si="3"/>
        <v>0.002</v>
      </c>
      <c r="K176" s="134">
        <f t="shared" si="5"/>
        <v>0.0061</v>
      </c>
      <c r="L176" s="193">
        <v>0.0169</v>
      </c>
      <c r="Q176" s="124">
        <v>42522</v>
      </c>
      <c r="R176" s="142">
        <v>0.0291</v>
      </c>
      <c r="V176" s="124">
        <v>42522</v>
      </c>
      <c r="W176" s="223">
        <v>0.473</v>
      </c>
    </row>
    <row r="177" spans="1:23" ht="15.75">
      <c r="A177" s="124">
        <v>42552</v>
      </c>
      <c r="B177" s="132">
        <v>4.0465</v>
      </c>
      <c r="C177" s="132">
        <v>4.3966</v>
      </c>
      <c r="D177" s="126">
        <v>3.9707</v>
      </c>
      <c r="H177" s="124">
        <v>42552</v>
      </c>
      <c r="I177" s="135">
        <v>-0.0074</v>
      </c>
      <c r="J177" s="133">
        <v>-0.002</v>
      </c>
      <c r="K177" s="134">
        <f t="shared" si="5"/>
        <v>0.0061</v>
      </c>
      <c r="L177" s="193">
        <v>0.0171</v>
      </c>
      <c r="Q177" s="124">
        <v>42552</v>
      </c>
      <c r="R177" s="142">
        <v>0.028599999999999997</v>
      </c>
      <c r="V177" s="124">
        <v>42552</v>
      </c>
      <c r="W177" s="223">
        <v>0.4774</v>
      </c>
    </row>
    <row r="178" spans="1:23" ht="15.75">
      <c r="A178" s="124">
        <v>42583</v>
      </c>
      <c r="B178" s="132">
        <v>3.9549</v>
      </c>
      <c r="C178" s="132">
        <v>4.3003</v>
      </c>
      <c r="D178" s="126">
        <v>3.8354</v>
      </c>
      <c r="H178" s="124">
        <v>42583</v>
      </c>
      <c r="I178" s="135">
        <v>-0.0074</v>
      </c>
      <c r="J178" s="133">
        <v>-0.003</v>
      </c>
      <c r="K178" s="134">
        <v>0.0076</v>
      </c>
      <c r="L178" s="193">
        <v>0.0171</v>
      </c>
      <c r="Q178" s="124">
        <v>42583</v>
      </c>
      <c r="R178" s="142">
        <v>0.028300000000000002</v>
      </c>
      <c r="V178" s="124">
        <v>42583</v>
      </c>
      <c r="W178" s="223">
        <v>0.4804</v>
      </c>
    </row>
    <row r="179" spans="1:23" ht="15.75">
      <c r="A179" s="124">
        <v>42614</v>
      </c>
      <c r="B179" s="132">
        <v>3.9586</v>
      </c>
      <c r="C179" s="132">
        <v>4.325</v>
      </c>
      <c r="D179" s="126">
        <v>3.8567</v>
      </c>
      <c r="H179" s="124">
        <v>42614</v>
      </c>
      <c r="I179" s="135">
        <v>-0.0074</v>
      </c>
      <c r="J179" s="133">
        <f t="shared" si="3"/>
        <v>-0.003</v>
      </c>
      <c r="K179" s="134">
        <f t="shared" si="5"/>
        <v>0.0076</v>
      </c>
      <c r="L179" s="193">
        <v>0.0171</v>
      </c>
      <c r="Q179" s="124">
        <v>42614</v>
      </c>
      <c r="R179" s="142">
        <v>0.028</v>
      </c>
      <c r="V179" s="124">
        <v>42614</v>
      </c>
      <c r="W179" s="223">
        <v>0.4804</v>
      </c>
    </row>
    <row r="180" spans="1:23" ht="15.75">
      <c r="A180" s="124">
        <v>42644</v>
      </c>
      <c r="B180" s="126">
        <v>3.9615</v>
      </c>
      <c r="C180" s="126">
        <v>4.3086</v>
      </c>
      <c r="D180" s="126">
        <v>3.9075</v>
      </c>
      <c r="H180" s="124">
        <v>42644</v>
      </c>
      <c r="I180" s="135">
        <v>-0.0074</v>
      </c>
      <c r="J180" s="133">
        <f t="shared" si="3"/>
        <v>-0.003</v>
      </c>
      <c r="K180" s="134">
        <v>0.0089</v>
      </c>
      <c r="L180" s="193">
        <v>0.0172</v>
      </c>
      <c r="Q180" s="124">
        <v>42644</v>
      </c>
      <c r="R180" s="142">
        <v>0.0284</v>
      </c>
      <c r="V180" s="124">
        <v>42644</v>
      </c>
      <c r="W180" s="223">
        <v>0.473</v>
      </c>
    </row>
    <row r="181" spans="1:23" ht="15.75">
      <c r="A181" s="124">
        <v>42675</v>
      </c>
      <c r="B181" s="126">
        <v>4.0749</v>
      </c>
      <c r="C181" s="126">
        <v>4.3839</v>
      </c>
      <c r="D181" s="126">
        <v>4.06</v>
      </c>
      <c r="H181" s="124">
        <v>42675</v>
      </c>
      <c r="I181" s="135">
        <v>-0.0074</v>
      </c>
      <c r="J181" s="133">
        <f t="shared" si="3"/>
        <v>-0.003</v>
      </c>
      <c r="K181" s="134">
        <f t="shared" si="5"/>
        <v>0.0089</v>
      </c>
      <c r="L181" s="193">
        <v>0.0173</v>
      </c>
      <c r="Q181" s="124">
        <v>42675</v>
      </c>
      <c r="R181" s="142">
        <v>0.027600000000000003</v>
      </c>
      <c r="V181" s="124">
        <v>42675</v>
      </c>
      <c r="W181" s="223">
        <v>0.4716</v>
      </c>
    </row>
    <row r="182" spans="1:23" ht="15.75">
      <c r="A182" s="124">
        <v>42705</v>
      </c>
      <c r="B182" s="126">
        <v>4.1256</v>
      </c>
      <c r="C182" s="126">
        <v>4.4371</v>
      </c>
      <c r="D182" s="126">
        <v>4.2049</v>
      </c>
      <c r="H182" s="124">
        <v>42705</v>
      </c>
      <c r="I182" s="135">
        <v>-0.0074</v>
      </c>
      <c r="J182" s="133">
        <f t="shared" si="3"/>
        <v>-0.003</v>
      </c>
      <c r="K182" s="134">
        <f t="shared" si="5"/>
        <v>0.0089</v>
      </c>
      <c r="L182" s="193">
        <v>0.0173</v>
      </c>
      <c r="Q182" s="124">
        <v>42705</v>
      </c>
      <c r="R182" s="142">
        <v>0.027899999999999998</v>
      </c>
      <c r="V182" s="124">
        <v>42705</v>
      </c>
      <c r="W182" s="223">
        <v>0.4613</v>
      </c>
    </row>
    <row r="183" spans="1:23" ht="15.75">
      <c r="A183" s="124">
        <v>42736</v>
      </c>
      <c r="B183" s="126">
        <v>4.0792</v>
      </c>
      <c r="C183" s="126">
        <v>4.3706</v>
      </c>
      <c r="D183" s="126">
        <v>4.1166</v>
      </c>
      <c r="H183" s="124">
        <v>42736</v>
      </c>
      <c r="I183" s="135">
        <v>-0.0074</v>
      </c>
      <c r="J183" s="133">
        <f t="shared" si="3"/>
        <v>-0.003</v>
      </c>
      <c r="K183" s="134">
        <f t="shared" si="5"/>
        <v>0.0089</v>
      </c>
      <c r="L183" s="193">
        <v>0.0173</v>
      </c>
      <c r="Q183" s="124">
        <v>42736</v>
      </c>
      <c r="R183" s="142">
        <v>0.027600000000000003</v>
      </c>
      <c r="V183" s="124">
        <v>42736</v>
      </c>
      <c r="W183" s="223">
        <v>0.4555</v>
      </c>
    </row>
    <row r="184" spans="1:23" ht="15.75">
      <c r="A184" s="124">
        <v>42767</v>
      </c>
      <c r="B184" s="126">
        <v>4.0424</v>
      </c>
      <c r="C184" s="126">
        <v>4.3097</v>
      </c>
      <c r="D184" s="126">
        <v>4.0487</v>
      </c>
      <c r="H184" s="124">
        <v>42767</v>
      </c>
      <c r="I184" s="135">
        <v>-0.0074</v>
      </c>
      <c r="J184" s="133">
        <f t="shared" si="3"/>
        <v>-0.003</v>
      </c>
      <c r="K184" s="134">
        <v>0.01</v>
      </c>
      <c r="L184" s="193">
        <v>0.0173</v>
      </c>
      <c r="Q184" s="124">
        <v>42767</v>
      </c>
      <c r="R184" s="142">
        <v>0.028399999999999998</v>
      </c>
      <c r="V184" s="124">
        <v>42767</v>
      </c>
      <c r="W184" s="223">
        <v>0.4512</v>
      </c>
    </row>
    <row r="185" spans="1:23" ht="15.75">
      <c r="A185" s="124">
        <v>42795</v>
      </c>
      <c r="B185" s="126">
        <v>4.0088</v>
      </c>
      <c r="C185" s="126">
        <v>4.2921</v>
      </c>
      <c r="D185" s="126">
        <v>4.0184</v>
      </c>
      <c r="H185" s="124">
        <v>42795</v>
      </c>
      <c r="I185" s="135">
        <v>-0.0074</v>
      </c>
      <c r="J185" s="133">
        <f t="shared" si="3"/>
        <v>-0.003</v>
      </c>
      <c r="K185" s="134">
        <f t="shared" si="5"/>
        <v>0.01</v>
      </c>
      <c r="L185" s="193">
        <v>0.0173</v>
      </c>
      <c r="Q185" s="124">
        <v>42795</v>
      </c>
      <c r="R185" s="142">
        <v>0.027600000000000003</v>
      </c>
      <c r="V185" s="124">
        <v>42795</v>
      </c>
      <c r="W185" s="223">
        <v>0.4526</v>
      </c>
    </row>
    <row r="186" spans="1:23" ht="15.75">
      <c r="A186" s="124">
        <v>42826</v>
      </c>
      <c r="B186" s="126">
        <v>3.9534</v>
      </c>
      <c r="C186" s="126">
        <v>4.2385</v>
      </c>
      <c r="D186" s="126">
        <v>3.9562</v>
      </c>
      <c r="H186" s="124">
        <v>42826</v>
      </c>
      <c r="I186" s="135">
        <v>-0.0074</v>
      </c>
      <c r="J186" s="133">
        <f t="shared" si="3"/>
        <v>-0.003</v>
      </c>
      <c r="K186" s="134">
        <v>0.0115</v>
      </c>
      <c r="L186" s="193">
        <v>0.0173</v>
      </c>
      <c r="Q186" s="124">
        <v>42826</v>
      </c>
      <c r="R186" s="142">
        <v>0.027399999999999997</v>
      </c>
      <c r="V186" s="124">
        <v>42826</v>
      </c>
      <c r="W186" s="223">
        <v>0.4483</v>
      </c>
    </row>
    <row r="187" spans="1:23" ht="15.75">
      <c r="A187" s="124">
        <v>42856</v>
      </c>
      <c r="B187" s="126">
        <v>3.858</v>
      </c>
      <c r="C187" s="126">
        <v>4.204</v>
      </c>
      <c r="D187" s="126">
        <v>3.807</v>
      </c>
      <c r="H187" s="124">
        <v>42856</v>
      </c>
      <c r="I187" s="135">
        <v>-0.0074</v>
      </c>
      <c r="J187" s="133">
        <f t="shared" si="3"/>
        <v>-0.003</v>
      </c>
      <c r="K187" s="134">
        <f t="shared" si="5"/>
        <v>0.0115</v>
      </c>
      <c r="L187" s="193">
        <v>0.0173</v>
      </c>
      <c r="Q187" s="124">
        <v>42856</v>
      </c>
      <c r="R187" s="142">
        <v>0.027800000000000002</v>
      </c>
      <c r="V187" s="124">
        <v>42856</v>
      </c>
      <c r="W187" s="223">
        <v>0.4483</v>
      </c>
    </row>
    <row r="188" spans="1:23" ht="15.75">
      <c r="A188" s="124">
        <v>42887</v>
      </c>
      <c r="B188" s="126">
        <v>3.8708</v>
      </c>
      <c r="C188" s="126">
        <v>4.2083</v>
      </c>
      <c r="D188" s="126">
        <v>3.7504</v>
      </c>
      <c r="H188" s="124">
        <v>42887</v>
      </c>
      <c r="I188" s="135">
        <v>-0.0074</v>
      </c>
      <c r="J188" s="133">
        <f t="shared" si="3"/>
        <v>-0.003</v>
      </c>
      <c r="K188" s="134">
        <f t="shared" si="5"/>
        <v>0.0115</v>
      </c>
      <c r="L188" s="193">
        <v>0.0173</v>
      </c>
      <c r="Q188" s="124">
        <v>42887</v>
      </c>
      <c r="R188" s="142">
        <v>0.027</v>
      </c>
      <c r="V188" s="124">
        <v>42887</v>
      </c>
      <c r="W188" s="223">
        <v>0.4512</v>
      </c>
    </row>
    <row r="189" spans="1:23" ht="15.75">
      <c r="A189" s="124">
        <v>42917</v>
      </c>
      <c r="B189" s="126">
        <v>3.8291</v>
      </c>
      <c r="C189" s="126">
        <v>4.2361</v>
      </c>
      <c r="D189" s="126">
        <v>3.6805</v>
      </c>
      <c r="H189" s="124">
        <v>42917</v>
      </c>
      <c r="I189" s="135">
        <v>-0.0074</v>
      </c>
      <c r="J189" s="133">
        <f t="shared" si="3"/>
        <v>-0.003</v>
      </c>
      <c r="K189" s="134">
        <v>0.013</v>
      </c>
      <c r="L189" s="193">
        <v>0.0173</v>
      </c>
      <c r="Q189" s="124">
        <v>42917</v>
      </c>
      <c r="R189" s="142">
        <v>0.026900000000000004</v>
      </c>
      <c r="V189" s="124">
        <v>42917</v>
      </c>
      <c r="W189" s="223">
        <v>0.4541</v>
      </c>
    </row>
    <row r="190" spans="1:23" ht="15.75">
      <c r="A190" s="124">
        <v>42948</v>
      </c>
      <c r="B190" s="126">
        <v>3.7471</v>
      </c>
      <c r="C190" s="126">
        <v>4.2665</v>
      </c>
      <c r="D190" s="126">
        <v>3.6127</v>
      </c>
      <c r="H190" s="124">
        <v>42948</v>
      </c>
      <c r="I190" s="135">
        <v>-0.0074</v>
      </c>
      <c r="J190" s="133">
        <f t="shared" si="3"/>
        <v>-0.003</v>
      </c>
      <c r="K190" s="134">
        <f t="shared" si="5"/>
        <v>0.013</v>
      </c>
      <c r="L190" s="193">
        <v>0.0173</v>
      </c>
      <c r="Q190" s="124">
        <v>42948</v>
      </c>
      <c r="R190" s="142">
        <v>0.027100000000000003</v>
      </c>
      <c r="V190" s="124">
        <v>42948</v>
      </c>
      <c r="W190" s="223">
        <v>0.4555</v>
      </c>
    </row>
    <row r="191" spans="1:23" ht="15.75">
      <c r="A191" s="124">
        <v>42979</v>
      </c>
      <c r="B191" s="126">
        <v>3.722</v>
      </c>
      <c r="C191" s="126">
        <v>4.2702</v>
      </c>
      <c r="D191" s="126">
        <v>3.5799</v>
      </c>
      <c r="H191" s="124">
        <v>42979</v>
      </c>
      <c r="I191" s="135">
        <v>-0.0074</v>
      </c>
      <c r="J191" s="133">
        <f t="shared" si="3"/>
        <v>-0.003</v>
      </c>
      <c r="K191" s="134">
        <f t="shared" si="5"/>
        <v>0.013</v>
      </c>
      <c r="L191" s="193">
        <v>0.0173</v>
      </c>
      <c r="Q191" s="124">
        <v>42979</v>
      </c>
      <c r="R191" s="142">
        <v>0.0277</v>
      </c>
      <c r="V191" s="124">
        <v>42979</v>
      </c>
      <c r="W191" s="223">
        <v>0.4497</v>
      </c>
    </row>
    <row r="192" spans="1:23" ht="15.75">
      <c r="A192" s="124">
        <v>43009</v>
      </c>
      <c r="B192" s="126">
        <v>3.6968</v>
      </c>
      <c r="C192" s="126">
        <v>4.2668</v>
      </c>
      <c r="D192" s="126">
        <v>3.6303</v>
      </c>
      <c r="H192" s="124">
        <v>43009</v>
      </c>
      <c r="I192" s="135">
        <v>-0.0074</v>
      </c>
      <c r="J192" s="133">
        <f t="shared" si="3"/>
        <v>-0.003</v>
      </c>
      <c r="K192" s="134">
        <f t="shared" si="5"/>
        <v>0.013</v>
      </c>
      <c r="L192" s="193">
        <v>0.0173</v>
      </c>
      <c r="Q192" s="124">
        <v>43009</v>
      </c>
      <c r="R192" s="142">
        <v>0.027899999999999998</v>
      </c>
      <c r="V192" s="124">
        <v>43009</v>
      </c>
      <c r="W192" s="223">
        <v>0.4425</v>
      </c>
    </row>
    <row r="193" spans="1:23" ht="15.75">
      <c r="A193" s="124">
        <v>43040</v>
      </c>
      <c r="B193" s="126">
        <v>3.6328</v>
      </c>
      <c r="C193" s="126">
        <v>4.2293</v>
      </c>
      <c r="D193" s="126">
        <v>3.6031</v>
      </c>
      <c r="H193" s="124">
        <v>43040</v>
      </c>
      <c r="I193" s="135">
        <v>-0.0074</v>
      </c>
      <c r="J193" s="133">
        <f t="shared" si="3"/>
        <v>-0.003</v>
      </c>
      <c r="K193" s="134">
        <f t="shared" si="5"/>
        <v>0.013</v>
      </c>
      <c r="L193" s="193">
        <v>0.0173</v>
      </c>
      <c r="Q193" s="124">
        <v>43040</v>
      </c>
      <c r="R193" s="142">
        <v>0.027899999999999998</v>
      </c>
      <c r="V193" s="124">
        <v>43040</v>
      </c>
      <c r="W193" s="223">
        <v>0.4353</v>
      </c>
    </row>
    <row r="194" spans="1:23" ht="15.75">
      <c r="A194" s="124">
        <v>43070</v>
      </c>
      <c r="B194" s="126">
        <v>3.5938</v>
      </c>
      <c r="C194" s="126">
        <v>4.2016</v>
      </c>
      <c r="D194" s="126">
        <v>3.5482</v>
      </c>
      <c r="H194" s="124">
        <v>43070</v>
      </c>
      <c r="I194" s="135">
        <v>-0.0074</v>
      </c>
      <c r="J194" s="133">
        <f t="shared" si="3"/>
        <v>-0.003</v>
      </c>
      <c r="K194" s="134">
        <v>0.0148</v>
      </c>
      <c r="L194" s="193">
        <v>0.0172</v>
      </c>
      <c r="Q194" s="124">
        <v>43070</v>
      </c>
      <c r="R194" s="142">
        <v>0.0279</v>
      </c>
      <c r="V194" s="124">
        <v>43070</v>
      </c>
      <c r="W194" s="223">
        <v>0.4325</v>
      </c>
    </row>
    <row r="195" spans="1:23" ht="15.75">
      <c r="A195" s="124">
        <v>43101</v>
      </c>
      <c r="B195" s="126">
        <v>3.5511</v>
      </c>
      <c r="C195" s="126">
        <v>4.1636</v>
      </c>
      <c r="D195" s="126">
        <v>3.4141</v>
      </c>
      <c r="H195" s="124">
        <v>43101</v>
      </c>
      <c r="I195" s="135">
        <v>-0.0074</v>
      </c>
      <c r="J195" s="133">
        <f t="shared" si="3"/>
        <v>-0.003</v>
      </c>
      <c r="K195" s="134">
        <v>0.0169</v>
      </c>
      <c r="L195" s="193">
        <v>0.0172</v>
      </c>
      <c r="Q195" s="124">
        <v>43101</v>
      </c>
      <c r="R195" s="142">
        <v>0.0276</v>
      </c>
      <c r="V195" s="124">
        <v>43101</v>
      </c>
      <c r="W195" s="223">
        <v>0.4282</v>
      </c>
    </row>
    <row r="196" spans="1:23" ht="15.75">
      <c r="A196" s="124">
        <v>43132</v>
      </c>
      <c r="B196" s="126">
        <v>3.6115</v>
      </c>
      <c r="C196" s="126">
        <v>4.1683</v>
      </c>
      <c r="D196" s="126">
        <v>3.3701</v>
      </c>
      <c r="H196" s="124">
        <v>43132</v>
      </c>
      <c r="I196" s="135">
        <v>-0.0074</v>
      </c>
      <c r="J196" s="133">
        <f t="shared" si="3"/>
        <v>-0.003</v>
      </c>
      <c r="K196" s="134">
        <f t="shared" si="5"/>
        <v>0.0169</v>
      </c>
      <c r="L196" s="193">
        <v>0.0172</v>
      </c>
      <c r="Q196" s="124">
        <v>43132</v>
      </c>
      <c r="R196" s="142">
        <v>0.027999999999999997</v>
      </c>
      <c r="V196" s="124">
        <v>43132</v>
      </c>
      <c r="W196" s="223">
        <v>0.431</v>
      </c>
    </row>
    <row r="197" spans="1:23" ht="15.75">
      <c r="A197" s="124">
        <v>43160</v>
      </c>
      <c r="B197" s="126">
        <v>3.6062</v>
      </c>
      <c r="C197" s="126">
        <v>4.2101</v>
      </c>
      <c r="D197" s="126">
        <v>3.4158</v>
      </c>
      <c r="H197" s="124">
        <v>43160</v>
      </c>
      <c r="I197" s="135">
        <v>-0.0074</v>
      </c>
      <c r="J197" s="133">
        <f t="shared" si="3"/>
        <v>-0.003</v>
      </c>
      <c r="K197" s="134">
        <v>0.0201</v>
      </c>
      <c r="L197" s="193">
        <v>0.0171</v>
      </c>
      <c r="Q197" s="124">
        <v>43160</v>
      </c>
      <c r="R197" s="142">
        <v>0.027</v>
      </c>
      <c r="V197" s="124">
        <v>43160</v>
      </c>
      <c r="W197" s="223">
        <v>0.4325</v>
      </c>
    </row>
    <row r="198" spans="1:23" ht="15.75">
      <c r="A198" s="124">
        <v>43191</v>
      </c>
      <c r="B198" s="126">
        <v>3.5305</v>
      </c>
      <c r="C198" s="126">
        <v>4.1948</v>
      </c>
      <c r="D198" s="126">
        <v>3.4188</v>
      </c>
      <c r="H198" s="124">
        <v>43191</v>
      </c>
      <c r="I198" s="135">
        <v>-0.0074</v>
      </c>
      <c r="J198" s="133">
        <f t="shared" si="3"/>
        <v>-0.003</v>
      </c>
      <c r="K198" s="134">
        <v>0.0231</v>
      </c>
      <c r="L198" s="193">
        <v>0.017</v>
      </c>
      <c r="Q198" s="124">
        <v>43191</v>
      </c>
      <c r="R198" s="142">
        <v>0.027499999999999997</v>
      </c>
      <c r="V198" s="124">
        <v>43191</v>
      </c>
      <c r="W198" s="223">
        <v>0.4254</v>
      </c>
    </row>
    <row r="199" spans="1:23" ht="15.75">
      <c r="A199" s="124">
        <v>43221</v>
      </c>
      <c r="B199" s="126">
        <v>3.6283</v>
      </c>
      <c r="C199" s="126">
        <v>4.282</v>
      </c>
      <c r="D199" s="126">
        <v>3.6183</v>
      </c>
      <c r="H199" s="124">
        <v>43221</v>
      </c>
      <c r="I199" s="135">
        <v>-0.0074</v>
      </c>
      <c r="J199" s="133">
        <f t="shared" si="3"/>
        <v>-0.003</v>
      </c>
      <c r="K199" s="134">
        <f t="shared" si="5"/>
        <v>0.0231</v>
      </c>
      <c r="L199" s="193">
        <v>0.017</v>
      </c>
      <c r="Q199" s="124">
        <v>43221</v>
      </c>
      <c r="R199" s="142">
        <v>0.0274</v>
      </c>
      <c r="V199" s="124">
        <v>43221</v>
      </c>
      <c r="W199" s="223">
        <v>0.4225</v>
      </c>
    </row>
    <row r="200" spans="1:23" ht="15.75">
      <c r="A200" s="124">
        <v>43252</v>
      </c>
      <c r="B200" s="126">
        <v>3.727</v>
      </c>
      <c r="C200" s="126">
        <v>4.3054</v>
      </c>
      <c r="D200" s="126">
        <v>3.6876</v>
      </c>
      <c r="H200" s="124">
        <v>43252</v>
      </c>
      <c r="I200" s="135">
        <v>-0.0074</v>
      </c>
      <c r="J200" s="133">
        <f t="shared" si="3"/>
        <v>-0.003</v>
      </c>
      <c r="K200" s="134">
        <f t="shared" si="5"/>
        <v>0.0231</v>
      </c>
      <c r="L200" s="193">
        <v>0.017</v>
      </c>
      <c r="Q200" s="124">
        <v>43252</v>
      </c>
      <c r="R200" s="142">
        <v>0.0274</v>
      </c>
      <c r="V200" s="124">
        <v>43252</v>
      </c>
      <c r="W200" s="223">
        <v>0.4211</v>
      </c>
    </row>
    <row r="201" spans="1:23" ht="15.75">
      <c r="A201" s="124">
        <v>43283</v>
      </c>
      <c r="B201" s="126">
        <v>3.7263</v>
      </c>
      <c r="C201" s="126">
        <v>4.3301</v>
      </c>
      <c r="D201" s="126">
        <v>3.7095</v>
      </c>
      <c r="H201" s="124">
        <v>43283</v>
      </c>
      <c r="I201" s="135">
        <v>-0.0074</v>
      </c>
      <c r="J201" s="133">
        <f t="shared" si="3"/>
        <v>-0.003</v>
      </c>
      <c r="K201" s="134">
        <f t="shared" si="5"/>
        <v>0.0231</v>
      </c>
      <c r="L201" s="193">
        <v>0.017</v>
      </c>
      <c r="Q201" s="124">
        <v>43283</v>
      </c>
      <c r="R201" s="142">
        <v>0.027499999999999997</v>
      </c>
      <c r="V201" s="124">
        <v>43283</v>
      </c>
      <c r="W201" s="223">
        <v>0.4239</v>
      </c>
    </row>
    <row r="202" spans="1:23" ht="15.75">
      <c r="A202" s="124">
        <v>43315</v>
      </c>
      <c r="B202" s="126">
        <v>3.7566</v>
      </c>
      <c r="C202" s="126">
        <v>4.2873</v>
      </c>
      <c r="D202" s="126">
        <v>3.7175</v>
      </c>
      <c r="H202" s="124">
        <v>43315</v>
      </c>
      <c r="I202" s="135">
        <v>-0.0074</v>
      </c>
      <c r="J202" s="133">
        <f t="shared" si="3"/>
        <v>-0.003</v>
      </c>
      <c r="K202" s="134">
        <f t="shared" si="5"/>
        <v>0.0231</v>
      </c>
      <c r="L202" s="193">
        <v>0.017</v>
      </c>
      <c r="Q202" s="124">
        <v>43315</v>
      </c>
      <c r="R202" s="142">
        <v>0.027499999999999997</v>
      </c>
      <c r="V202" s="124">
        <v>43315</v>
      </c>
      <c r="W202" s="223">
        <v>0.4239</v>
      </c>
    </row>
    <row r="203" spans="1:23" ht="15.75">
      <c r="A203" s="124">
        <v>43347</v>
      </c>
      <c r="B203" s="126">
        <v>3.8086</v>
      </c>
      <c r="C203" s="126">
        <v>4.2992</v>
      </c>
      <c r="D203" s="126">
        <v>3.6837</v>
      </c>
      <c r="H203" s="124">
        <v>43347</v>
      </c>
      <c r="I203" s="135">
        <v>-0.0074</v>
      </c>
      <c r="J203" s="133">
        <f t="shared" si="3"/>
        <v>-0.003</v>
      </c>
      <c r="K203" s="134">
        <f t="shared" si="5"/>
        <v>0.0231</v>
      </c>
      <c r="L203" s="193">
        <v>0.0172</v>
      </c>
      <c r="Q203" s="124">
        <v>43347</v>
      </c>
      <c r="R203" s="142">
        <v>0.027700000000000002</v>
      </c>
      <c r="V203" s="124">
        <v>43347</v>
      </c>
      <c r="W203" s="223">
        <v>0.4211</v>
      </c>
    </row>
    <row r="204" spans="1:23" ht="15.75">
      <c r="A204" s="124">
        <v>43374</v>
      </c>
      <c r="B204" s="126">
        <v>3.7723</v>
      </c>
      <c r="C204" s="126">
        <v>4.306</v>
      </c>
      <c r="D204" s="126">
        <v>3.7495</v>
      </c>
      <c r="H204" s="124">
        <v>43374</v>
      </c>
      <c r="I204" s="135">
        <v>-0.0074</v>
      </c>
      <c r="J204" s="133">
        <f t="shared" si="3"/>
        <v>-0.003</v>
      </c>
      <c r="K204" s="134">
        <f t="shared" si="5"/>
        <v>0.0231</v>
      </c>
      <c r="L204" s="193">
        <v>0.0172</v>
      </c>
      <c r="Q204" s="124">
        <v>43374</v>
      </c>
      <c r="R204" s="142">
        <v>0.0279</v>
      </c>
      <c r="V204" s="124">
        <v>43374</v>
      </c>
      <c r="W204" s="223">
        <v>0.4154</v>
      </c>
    </row>
    <row r="205" spans="1:23" ht="15.75">
      <c r="A205" s="124">
        <v>43405</v>
      </c>
      <c r="B205" s="126">
        <v>3.7808</v>
      </c>
      <c r="C205" s="126">
        <v>4.3029</v>
      </c>
      <c r="D205" s="126">
        <v>3.7866</v>
      </c>
      <c r="H205" s="124">
        <v>43405</v>
      </c>
      <c r="I205" s="135">
        <v>-0.0074</v>
      </c>
      <c r="J205" s="133">
        <f t="shared" si="3"/>
        <v>-0.003</v>
      </c>
      <c r="K205" s="134">
        <v>0.0254</v>
      </c>
      <c r="L205" s="193">
        <v>0.0172</v>
      </c>
      <c r="Q205" s="124">
        <v>43405</v>
      </c>
      <c r="R205" s="142">
        <v>0.0279</v>
      </c>
      <c r="V205" s="124">
        <v>43405</v>
      </c>
      <c r="W205" s="223">
        <v>0.4154</v>
      </c>
    </row>
    <row r="206" spans="1:23" ht="15.75">
      <c r="A206" s="124">
        <v>43435</v>
      </c>
      <c r="B206" s="126">
        <v>3.7975</v>
      </c>
      <c r="C206" s="126">
        <v>4.2905</v>
      </c>
      <c r="D206" s="126">
        <v>3.7691</v>
      </c>
      <c r="H206" s="124">
        <v>43435</v>
      </c>
      <c r="I206" s="135">
        <v>-0.0074</v>
      </c>
      <c r="J206" s="133">
        <f t="shared" si="3"/>
        <v>-0.003</v>
      </c>
      <c r="K206" s="134">
        <v>0.0274</v>
      </c>
      <c r="L206" s="193">
        <v>0.0172</v>
      </c>
      <c r="Q206" s="124">
        <v>43435</v>
      </c>
      <c r="R206" s="142">
        <v>0.0276</v>
      </c>
      <c r="V206" s="124">
        <v>43435</v>
      </c>
      <c r="W206" s="223">
        <v>0.4154</v>
      </c>
    </row>
    <row r="207" spans="1:23" ht="15.75">
      <c r="A207" s="124">
        <v>43466</v>
      </c>
      <c r="B207" s="126">
        <v>3.8033</v>
      </c>
      <c r="C207" s="126">
        <v>4.2954</v>
      </c>
      <c r="D207" s="126">
        <v>3.7617</v>
      </c>
      <c r="H207" s="124">
        <v>43466</v>
      </c>
      <c r="I207" s="135">
        <v>-0.0074</v>
      </c>
      <c r="J207" s="133">
        <f t="shared" si="3"/>
        <v>-0.003</v>
      </c>
      <c r="K207" s="134">
        <f t="shared" si="5"/>
        <v>0.0274</v>
      </c>
      <c r="L207" s="193">
        <v>0.0172</v>
      </c>
      <c r="Q207" s="124">
        <v>43466</v>
      </c>
      <c r="R207" s="142">
        <v>0.027499999999999997</v>
      </c>
      <c r="V207" s="124">
        <v>43466</v>
      </c>
      <c r="W207" s="223">
        <v>0.4183</v>
      </c>
    </row>
    <row r="208" spans="1:23" ht="15.75">
      <c r="A208" s="124">
        <v>43497</v>
      </c>
      <c r="B208" s="126">
        <v>3.7975</v>
      </c>
      <c r="C208" s="126">
        <v>4.3157</v>
      </c>
      <c r="D208" s="126">
        <v>3.8023</v>
      </c>
      <c r="H208" s="124">
        <v>43497</v>
      </c>
      <c r="I208" s="135">
        <v>-0.0074</v>
      </c>
      <c r="J208" s="133">
        <f t="shared" si="3"/>
        <v>-0.003</v>
      </c>
      <c r="K208" s="134">
        <f t="shared" si="5"/>
        <v>0.0274</v>
      </c>
      <c r="L208" s="193">
        <v>0.0172</v>
      </c>
      <c r="Q208" s="124">
        <v>43497</v>
      </c>
      <c r="R208" s="142">
        <v>0.0276</v>
      </c>
      <c r="V208" s="124">
        <v>43497</v>
      </c>
      <c r="W208" s="223">
        <v>0.4126</v>
      </c>
    </row>
    <row r="209" spans="1:23" ht="15.75">
      <c r="A209" s="124">
        <v>43525</v>
      </c>
      <c r="B209" s="126">
        <v>3.8019</v>
      </c>
      <c r="C209" s="126">
        <v>4.2996</v>
      </c>
      <c r="D209" s="126">
        <v>3.8052</v>
      </c>
      <c r="H209" s="124">
        <v>43525</v>
      </c>
      <c r="I209" s="135">
        <v>-0.0074</v>
      </c>
      <c r="J209" s="133">
        <f t="shared" si="3"/>
        <v>-0.003</v>
      </c>
      <c r="K209" s="134">
        <v>0.0263</v>
      </c>
      <c r="L209" s="193">
        <v>0.0172</v>
      </c>
      <c r="Q209" s="124">
        <v>43525</v>
      </c>
      <c r="R209" s="142">
        <v>0.026799999999999997</v>
      </c>
      <c r="V209" s="124">
        <v>43525</v>
      </c>
      <c r="W209" s="223">
        <v>0.4084</v>
      </c>
    </row>
    <row r="210" spans="1:23" ht="15.75">
      <c r="A210" s="124">
        <v>43556</v>
      </c>
      <c r="B210" s="126">
        <v>3.786</v>
      </c>
      <c r="C210" s="126">
        <v>4.2874</v>
      </c>
      <c r="D210" s="126">
        <v>3.8145</v>
      </c>
      <c r="H210" s="124">
        <v>43556</v>
      </c>
      <c r="I210" s="135">
        <v>-0.0074</v>
      </c>
      <c r="J210" s="133">
        <f t="shared" si="3"/>
        <v>-0.003</v>
      </c>
      <c r="K210" s="134">
        <f t="shared" si="5"/>
        <v>0.0263</v>
      </c>
      <c r="L210" s="193">
        <v>0.0172</v>
      </c>
      <c r="Q210" s="124">
        <v>43556</v>
      </c>
      <c r="R210" s="142">
        <v>0.027000000000000003</v>
      </c>
      <c r="V210" s="124">
        <v>43556</v>
      </c>
      <c r="W210" s="223">
        <v>0.3931</v>
      </c>
    </row>
    <row r="211" spans="1:23" ht="15.75">
      <c r="A211" s="124">
        <v>43586</v>
      </c>
      <c r="B211" s="126">
        <v>3.7978</v>
      </c>
      <c r="C211" s="126">
        <v>4.2965</v>
      </c>
      <c r="D211" s="126">
        <v>3.8393</v>
      </c>
      <c r="H211" s="124">
        <v>43586</v>
      </c>
      <c r="I211" s="135">
        <v>-0.0074</v>
      </c>
      <c r="J211" s="133">
        <f t="shared" si="3"/>
        <v>-0.003</v>
      </c>
      <c r="K211" s="134">
        <f t="shared" si="5"/>
        <v>0.0263</v>
      </c>
      <c r="L211" s="193">
        <v>0.0172</v>
      </c>
      <c r="Q211" s="124">
        <v>43586</v>
      </c>
      <c r="R211" s="142">
        <v>0.0267</v>
      </c>
      <c r="V211" s="124">
        <v>43586</v>
      </c>
      <c r="W211" s="223">
        <v>0.3903</v>
      </c>
    </row>
    <row r="212" spans="1:23" ht="15.75">
      <c r="A212" s="124">
        <v>43617</v>
      </c>
      <c r="B212" s="126">
        <v>3.82</v>
      </c>
      <c r="C212" s="126">
        <v>4.266</v>
      </c>
      <c r="D212" s="126">
        <v>3.7811</v>
      </c>
      <c r="H212" s="124">
        <v>43617</v>
      </c>
      <c r="I212" s="135">
        <v>-0.0074</v>
      </c>
      <c r="J212" s="133">
        <f t="shared" si="3"/>
        <v>-0.003</v>
      </c>
      <c r="K212" s="134">
        <v>0.0252</v>
      </c>
      <c r="L212" s="193">
        <v>0.0172</v>
      </c>
      <c r="Q212" s="124">
        <v>43617</v>
      </c>
      <c r="R212" s="142">
        <v>0.026500000000000003</v>
      </c>
      <c r="V212" s="124">
        <v>43617</v>
      </c>
      <c r="W212" s="223">
        <v>0.3861</v>
      </c>
    </row>
    <row r="213" spans="1:23" ht="15.75">
      <c r="A213" s="124">
        <v>43647</v>
      </c>
      <c r="B213" s="126">
        <v>3.8442</v>
      </c>
      <c r="C213" s="126">
        <v>4.2598</v>
      </c>
      <c r="D213" s="126">
        <v>3.7959</v>
      </c>
      <c r="H213" s="124">
        <v>43647</v>
      </c>
      <c r="I213" s="135">
        <v>-0.0074</v>
      </c>
      <c r="J213" s="133">
        <f t="shared" si="3"/>
        <v>-0.003</v>
      </c>
      <c r="K213" s="134">
        <v>0.0232</v>
      </c>
      <c r="L213" s="193">
        <v>0.0172</v>
      </c>
      <c r="Q213" s="124">
        <v>43647</v>
      </c>
      <c r="R213" s="142">
        <v>0.0271</v>
      </c>
      <c r="V213" s="124">
        <v>43647</v>
      </c>
      <c r="W213" s="223">
        <v>0.3861</v>
      </c>
    </row>
    <row r="214" spans="1:23" ht="15.75">
      <c r="A214" s="124">
        <v>43678</v>
      </c>
      <c r="B214" s="126">
        <v>3.9844</v>
      </c>
      <c r="C214" s="126">
        <v>4.3437</v>
      </c>
      <c r="D214" s="126">
        <v>3.9067</v>
      </c>
      <c r="H214" s="124">
        <v>43678</v>
      </c>
      <c r="I214" s="135">
        <v>-0.0074</v>
      </c>
      <c r="J214" s="133">
        <f t="shared" si="3"/>
        <v>-0.003</v>
      </c>
      <c r="K214" s="134">
        <v>0.0232</v>
      </c>
      <c r="L214" s="193">
        <v>0.0172</v>
      </c>
      <c r="Q214" s="124">
        <v>43678</v>
      </c>
      <c r="R214" s="142">
        <v>0.026799999999999997</v>
      </c>
      <c r="V214" s="124">
        <v>43678</v>
      </c>
      <c r="W214" s="223">
        <v>0.3861</v>
      </c>
    </row>
    <row r="215" spans="1:23" ht="15.75">
      <c r="A215" s="124">
        <v>43709</v>
      </c>
      <c r="B215" s="126">
        <v>3.9919</v>
      </c>
      <c r="C215" s="126">
        <v>4.3547</v>
      </c>
      <c r="D215" s="126">
        <v>3.9535</v>
      </c>
      <c r="H215" s="124">
        <v>43709</v>
      </c>
      <c r="I215" s="135">
        <v>-0.0086</v>
      </c>
      <c r="J215" s="133">
        <v>-0.0043</v>
      </c>
      <c r="K215" s="134">
        <v>0.0213</v>
      </c>
      <c r="L215" s="193">
        <v>0.0172</v>
      </c>
      <c r="Q215" s="124">
        <v>43709</v>
      </c>
      <c r="R215" s="142">
        <v>0.027200000000000002</v>
      </c>
      <c r="V215" s="124">
        <v>43709</v>
      </c>
      <c r="W215" s="223">
        <v>0.3861</v>
      </c>
    </row>
    <row r="216" spans="1:23" ht="15.75">
      <c r="A216" s="124">
        <v>43739</v>
      </c>
      <c r="B216" s="126">
        <v>3.918</v>
      </c>
      <c r="C216" s="126">
        <v>4.3025</v>
      </c>
      <c r="D216" s="126">
        <v>3.8935</v>
      </c>
      <c r="H216" s="124">
        <v>43739</v>
      </c>
      <c r="I216" s="135">
        <f>I215</f>
        <v>-0.0086</v>
      </c>
      <c r="J216" s="133">
        <f t="shared" si="3"/>
        <v>-0.0043</v>
      </c>
      <c r="K216" s="134">
        <f t="shared" si="5"/>
        <v>0.0213</v>
      </c>
      <c r="L216" s="193">
        <v>0.0172</v>
      </c>
      <c r="Q216" s="124">
        <v>43739</v>
      </c>
      <c r="R216" s="142">
        <v>0.0274</v>
      </c>
      <c r="V216" s="124">
        <v>43739</v>
      </c>
      <c r="W216" s="223">
        <v>0.3834</v>
      </c>
    </row>
    <row r="217" spans="1:23" ht="15.75">
      <c r="A217" s="124">
        <v>43770</v>
      </c>
      <c r="B217" s="126">
        <v>3.902</v>
      </c>
      <c r="C217" s="126">
        <v>4.2843</v>
      </c>
      <c r="D217" s="126">
        <v>3.8745</v>
      </c>
      <c r="H217" s="124">
        <v>43770</v>
      </c>
      <c r="I217" s="135">
        <v>-0.0076</v>
      </c>
      <c r="J217" s="133">
        <f t="shared" si="3"/>
        <v>-0.0043</v>
      </c>
      <c r="K217" s="134">
        <v>0.0191</v>
      </c>
      <c r="L217" s="193">
        <v>0.0171</v>
      </c>
      <c r="Q217" s="124">
        <v>43770</v>
      </c>
      <c r="R217" s="142">
        <v>0.0273</v>
      </c>
      <c r="V217" s="124">
        <v>43770</v>
      </c>
      <c r="W217" s="223">
        <v>0.382</v>
      </c>
    </row>
    <row r="218" spans="1:23" ht="15.75">
      <c r="A218" s="124">
        <v>43800</v>
      </c>
      <c r="B218" s="126">
        <v>3.9087</v>
      </c>
      <c r="C218" s="126">
        <v>4.2721</v>
      </c>
      <c r="D218" s="126">
        <v>3.8443</v>
      </c>
      <c r="H218" s="124">
        <v>43800</v>
      </c>
      <c r="I218" s="135">
        <f>I217</f>
        <v>-0.0076</v>
      </c>
      <c r="J218" s="133">
        <f t="shared" si="3"/>
        <v>-0.0043</v>
      </c>
      <c r="K218" s="134">
        <f t="shared" si="5"/>
        <v>0.0191</v>
      </c>
      <c r="L218" s="193">
        <v>0.017</v>
      </c>
      <c r="Q218" s="124">
        <v>43800</v>
      </c>
      <c r="R218" s="142">
        <v>0.0271</v>
      </c>
      <c r="V218" s="124">
        <v>43800</v>
      </c>
      <c r="W218" s="223">
        <v>0.371</v>
      </c>
    </row>
    <row r="219" spans="1:23" ht="15.75">
      <c r="A219" s="124">
        <v>43831</v>
      </c>
      <c r="B219" s="126">
        <v>3.9451</v>
      </c>
      <c r="C219" s="126">
        <v>4.2504</v>
      </c>
      <c r="D219" s="126">
        <v>3.8287</v>
      </c>
      <c r="H219" s="124">
        <v>43831</v>
      </c>
      <c r="I219" s="135">
        <f>I218</f>
        <v>-0.0076</v>
      </c>
      <c r="J219" s="133">
        <f t="shared" si="3"/>
        <v>-0.0043</v>
      </c>
      <c r="K219" s="134">
        <f t="shared" si="5"/>
        <v>0.0191</v>
      </c>
      <c r="L219" s="193">
        <v>0.0171</v>
      </c>
      <c r="Q219" s="124">
        <v>43831</v>
      </c>
      <c r="R219" s="142">
        <v>0.0273</v>
      </c>
      <c r="V219" s="124">
        <v>43831</v>
      </c>
      <c r="W219" s="223">
        <v>0.3588</v>
      </c>
    </row>
    <row r="220" spans="1:23" ht="15.75">
      <c r="A220" s="124">
        <v>43862</v>
      </c>
      <c r="B220" s="126">
        <v>4.0166</v>
      </c>
      <c r="C220" s="126">
        <v>4.2789</v>
      </c>
      <c r="D220" s="126">
        <v>3.9201</v>
      </c>
      <c r="H220" s="124">
        <v>43862</v>
      </c>
      <c r="I220" s="135">
        <f>I219</f>
        <v>-0.0076</v>
      </c>
      <c r="J220" s="133">
        <f t="shared" si="3"/>
        <v>-0.0043</v>
      </c>
      <c r="K220" s="134">
        <v>0.0176</v>
      </c>
      <c r="L220" s="193">
        <v>0.0171</v>
      </c>
      <c r="Q220" s="124">
        <v>43862</v>
      </c>
      <c r="R220" s="142">
        <v>0.0273</v>
      </c>
      <c r="V220" s="124">
        <v>43862</v>
      </c>
      <c r="W220" s="223">
        <v>0.3493</v>
      </c>
    </row>
    <row r="221" spans="1:23" ht="15.75">
      <c r="A221" s="124">
        <v>43891</v>
      </c>
      <c r="B221" s="126">
        <v>4.1892</v>
      </c>
      <c r="C221" s="126">
        <v>4.4356</v>
      </c>
      <c r="D221" s="126">
        <v>4.0126</v>
      </c>
      <c r="H221" s="124">
        <v>43891</v>
      </c>
      <c r="I221" s="135">
        <f>I220</f>
        <v>-0.0076</v>
      </c>
      <c r="J221" s="133">
        <f t="shared" si="3"/>
        <v>-0.0043</v>
      </c>
      <c r="K221" s="134">
        <v>0.0158</v>
      </c>
      <c r="L221" s="193">
        <v>0.0145</v>
      </c>
      <c r="Q221" s="124">
        <v>43891</v>
      </c>
      <c r="R221" s="142">
        <v>0.0286</v>
      </c>
      <c r="V221" s="124">
        <v>43891</v>
      </c>
      <c r="W221" s="223">
        <v>0.3466</v>
      </c>
    </row>
    <row r="222" spans="1:23" ht="15.75">
      <c r="A222" s="124">
        <v>43922</v>
      </c>
      <c r="B222" s="126">
        <v>4.3107</v>
      </c>
      <c r="C222" s="126">
        <v>4.545</v>
      </c>
      <c r="D222" s="126">
        <v>4.1856</v>
      </c>
      <c r="H222" s="124">
        <v>43922</v>
      </c>
      <c r="I222" s="135">
        <v>-0.0066</v>
      </c>
      <c r="J222" s="133">
        <f t="shared" si="3"/>
        <v>-0.0043</v>
      </c>
      <c r="K222" s="134">
        <v>0.0143</v>
      </c>
      <c r="L222" s="193">
        <v>0.0083</v>
      </c>
      <c r="Q222" s="124">
        <v>43922</v>
      </c>
      <c r="R222" s="142">
        <v>0.0313</v>
      </c>
      <c r="V222" s="124">
        <v>43922</v>
      </c>
      <c r="W222" s="223">
        <v>0.348</v>
      </c>
    </row>
    <row r="223" spans="1:23" ht="15.75">
      <c r="A223" s="124">
        <v>43952</v>
      </c>
      <c r="B223" s="126">
        <v>4.2838</v>
      </c>
      <c r="C223" s="126">
        <v>4.5291</v>
      </c>
      <c r="D223" s="126">
        <v>4.1569</v>
      </c>
      <c r="H223" s="124">
        <v>43952</v>
      </c>
      <c r="I223" s="135">
        <f>I222</f>
        <v>-0.0066</v>
      </c>
      <c r="J223" s="133">
        <v>-0.0026</v>
      </c>
      <c r="K223" s="134">
        <v>0.069</v>
      </c>
      <c r="L223" s="193">
        <v>0.0066</v>
      </c>
      <c r="Q223" s="124">
        <v>43952</v>
      </c>
      <c r="R223" s="142">
        <v>0.030399999999999996</v>
      </c>
      <c r="V223" s="124">
        <v>43952</v>
      </c>
      <c r="W223" s="223">
        <v>0.3507</v>
      </c>
    </row>
    <row r="224" spans="1:23" ht="15.75">
      <c r="A224" s="124">
        <v>43983</v>
      </c>
      <c r="B224" s="126">
        <v>4.1474</v>
      </c>
      <c r="C224" s="126">
        <v>4.445</v>
      </c>
      <c r="D224" s="126">
        <v>3.9453</v>
      </c>
      <c r="H224" s="124">
        <v>43983</v>
      </c>
      <c r="I224" s="135">
        <f>I223</f>
        <v>-0.0066</v>
      </c>
      <c r="J224" s="133">
        <f aca="true" t="shared" si="6" ref="J224:J239">J223</f>
        <v>-0.0026</v>
      </c>
      <c r="K224" s="134">
        <v>0.0035</v>
      </c>
      <c r="L224" s="193">
        <v>0.0027</v>
      </c>
      <c r="Q224" s="124">
        <v>43983</v>
      </c>
      <c r="R224" s="142">
        <v>0.030100000000000002</v>
      </c>
      <c r="V224" s="124">
        <v>43983</v>
      </c>
      <c r="W224" s="223">
        <v>0.3426</v>
      </c>
    </row>
    <row r="225" spans="1:23" ht="15.75">
      <c r="A225" s="124">
        <v>44013</v>
      </c>
      <c r="B225" s="126">
        <v>4.1611</v>
      </c>
      <c r="C225" s="126">
        <v>4.4528</v>
      </c>
      <c r="D225" s="126">
        <v>3.8943</v>
      </c>
      <c r="H225" s="124">
        <v>44013</v>
      </c>
      <c r="I225" s="135">
        <f>I224</f>
        <v>-0.0066</v>
      </c>
      <c r="J225" s="133">
        <v>-0.0041</v>
      </c>
      <c r="K225" s="134">
        <f t="shared" si="5"/>
        <v>0.0035</v>
      </c>
      <c r="L225" s="193">
        <v>0.0025</v>
      </c>
      <c r="Q225" s="124">
        <v>44013</v>
      </c>
      <c r="R225" s="142">
        <v>0.030000000000000002</v>
      </c>
      <c r="V225" s="124">
        <v>44013</v>
      </c>
      <c r="W225" s="223">
        <v>0.3453</v>
      </c>
    </row>
    <row r="226" spans="1:23" ht="15.75">
      <c r="A226" s="124">
        <v>44044</v>
      </c>
      <c r="B226" s="126">
        <v>4.0882</v>
      </c>
      <c r="C226" s="126">
        <v>4.4021</v>
      </c>
      <c r="D226" s="126">
        <v>3.719</v>
      </c>
      <c r="H226" s="124">
        <v>44044</v>
      </c>
      <c r="I226" s="135">
        <f>I225</f>
        <v>-0.0066</v>
      </c>
      <c r="J226" s="133">
        <f t="shared" si="6"/>
        <v>-0.0041</v>
      </c>
      <c r="K226" s="134">
        <v>0.0025</v>
      </c>
      <c r="L226" s="193">
        <v>0.0023</v>
      </c>
      <c r="Q226" s="124">
        <v>44044</v>
      </c>
      <c r="R226" s="142">
        <v>0.0283</v>
      </c>
      <c r="V226" s="124">
        <v>44044</v>
      </c>
      <c r="W226" s="223">
        <v>0.3467</v>
      </c>
    </row>
    <row r="227" spans="1:23" ht="15.75">
      <c r="A227" s="124">
        <v>44075</v>
      </c>
      <c r="B227" s="126">
        <v>4.1487</v>
      </c>
      <c r="C227" s="126">
        <v>4.474</v>
      </c>
      <c r="D227" s="126">
        <v>3.7926</v>
      </c>
      <c r="H227" s="124">
        <v>44075</v>
      </c>
      <c r="I227" s="135">
        <f>I226</f>
        <v>-0.0066</v>
      </c>
      <c r="J227" s="133">
        <f t="shared" si="6"/>
        <v>-0.0041</v>
      </c>
      <c r="K227" s="134">
        <f t="shared" si="5"/>
        <v>0.0025</v>
      </c>
      <c r="L227" s="193">
        <v>0.0023</v>
      </c>
      <c r="Q227" s="124">
        <v>44075</v>
      </c>
      <c r="R227" s="142">
        <v>0.0278</v>
      </c>
      <c r="V227" s="124">
        <v>44075</v>
      </c>
      <c r="W227" s="223">
        <v>0.344</v>
      </c>
    </row>
    <row r="228" spans="1:23" ht="15.75">
      <c r="A228" s="124">
        <v>44105</v>
      </c>
      <c r="B228" s="126">
        <v>4.2282</v>
      </c>
      <c r="C228" s="126">
        <v>4.5411</v>
      </c>
      <c r="D228" s="126">
        <v>3.8605</v>
      </c>
      <c r="H228" s="124">
        <v>44105</v>
      </c>
      <c r="I228" s="135">
        <v>-0.0077</v>
      </c>
      <c r="J228" s="133">
        <f t="shared" si="6"/>
        <v>-0.0041</v>
      </c>
      <c r="K228" s="134">
        <f t="shared" si="5"/>
        <v>0.0025</v>
      </c>
      <c r="L228" s="193">
        <v>0.0022</v>
      </c>
      <c r="Q228" s="124">
        <v>44105</v>
      </c>
      <c r="R228" s="142">
        <v>0.0269</v>
      </c>
      <c r="V228" s="124">
        <v>44105</v>
      </c>
      <c r="W228" s="223">
        <v>0.3426</v>
      </c>
    </row>
    <row r="229" spans="1:23" ht="15.75">
      <c r="A229" s="124">
        <v>44136</v>
      </c>
      <c r="B229" s="126">
        <v>4.1783</v>
      </c>
      <c r="C229" s="126">
        <v>4.5023</v>
      </c>
      <c r="D229" s="126">
        <v>3.8035</v>
      </c>
      <c r="H229" s="124">
        <v>44136</v>
      </c>
      <c r="I229" s="135">
        <f aca="true" t="shared" si="7" ref="I229:K238">I228</f>
        <v>-0.0077</v>
      </c>
      <c r="J229" s="133">
        <v>-0.0052</v>
      </c>
      <c r="K229" s="134">
        <f t="shared" si="5"/>
        <v>0.0025</v>
      </c>
      <c r="L229" s="193">
        <v>0.0022</v>
      </c>
      <c r="Q229" s="124">
        <v>44136</v>
      </c>
      <c r="R229" s="142">
        <v>0.027</v>
      </c>
      <c r="V229" s="124">
        <v>44136</v>
      </c>
      <c r="W229" s="223">
        <v>0.3413</v>
      </c>
    </row>
    <row r="230" spans="1:23" ht="15.75">
      <c r="A230" s="124">
        <v>44166</v>
      </c>
      <c r="B230" s="126">
        <v>4.1383</v>
      </c>
      <c r="C230" s="126">
        <v>4.4766</v>
      </c>
      <c r="D230" s="126">
        <v>3.6778</v>
      </c>
      <c r="H230" s="124">
        <v>44166</v>
      </c>
      <c r="I230" s="135">
        <f t="shared" si="7"/>
        <v>-0.0077</v>
      </c>
      <c r="J230" s="133">
        <f t="shared" si="6"/>
        <v>-0.0052</v>
      </c>
      <c r="K230" s="134">
        <f aca="true" t="shared" si="8" ref="K230:K232">K229</f>
        <v>0.0025</v>
      </c>
      <c r="L230" s="193">
        <v>0.0021</v>
      </c>
      <c r="Q230" s="124">
        <v>44166</v>
      </c>
      <c r="R230" s="143">
        <v>0.0272</v>
      </c>
      <c r="V230" s="124">
        <v>44166</v>
      </c>
      <c r="W230" s="223">
        <v>0.34</v>
      </c>
    </row>
    <row r="231" spans="1:23" ht="15.75">
      <c r="A231" s="124">
        <v>44197</v>
      </c>
      <c r="B231" s="126">
        <v>4.209</v>
      </c>
      <c r="C231" s="126">
        <v>4.5435</v>
      </c>
      <c r="D231" s="126">
        <v>3.7304</v>
      </c>
      <c r="H231" s="124">
        <v>44197</v>
      </c>
      <c r="I231" s="135">
        <f t="shared" si="7"/>
        <v>-0.0077</v>
      </c>
      <c r="J231" s="133">
        <f t="shared" si="6"/>
        <v>-0.0052</v>
      </c>
      <c r="K231" s="134">
        <f t="shared" si="8"/>
        <v>0.0025</v>
      </c>
      <c r="L231" s="193">
        <v>0.0021</v>
      </c>
      <c r="Q231" s="124"/>
      <c r="V231" s="124">
        <v>44197</v>
      </c>
      <c r="W231" s="223">
        <v>0.3228</v>
      </c>
    </row>
    <row r="232" spans="1:23" ht="15.75">
      <c r="A232" s="124">
        <v>44228</v>
      </c>
      <c r="B232" s="126">
        <v>4.1442</v>
      </c>
      <c r="C232" s="126">
        <v>4.4988</v>
      </c>
      <c r="D232" s="126">
        <v>3.7196</v>
      </c>
      <c r="H232" s="124">
        <v>44228</v>
      </c>
      <c r="I232" s="135">
        <f t="shared" si="7"/>
        <v>-0.0077</v>
      </c>
      <c r="J232" s="133">
        <f t="shared" si="6"/>
        <v>-0.0052</v>
      </c>
      <c r="K232" s="134">
        <f t="shared" si="8"/>
        <v>0.0025</v>
      </c>
      <c r="L232" s="193">
        <v>0.0021</v>
      </c>
      <c r="Q232" s="124"/>
      <c r="V232" s="124">
        <v>44228</v>
      </c>
      <c r="W232" s="223">
        <v>0.3162</v>
      </c>
    </row>
    <row r="233" spans="1:23" ht="15.75">
      <c r="A233" s="124">
        <v>44256</v>
      </c>
      <c r="B233" s="126">
        <v>4.1573</v>
      </c>
      <c r="C233" s="126">
        <v>4.6007</v>
      </c>
      <c r="D233" s="126">
        <v>3.8673</v>
      </c>
      <c r="H233" s="124">
        <v>44256</v>
      </c>
      <c r="I233" s="135">
        <f t="shared" si="7"/>
        <v>-0.0077</v>
      </c>
      <c r="J233" s="133">
        <f t="shared" si="6"/>
        <v>-0.0052</v>
      </c>
      <c r="K233" s="134">
        <f t="shared" si="7"/>
        <v>0.0025</v>
      </c>
      <c r="L233" s="193">
        <v>0.0021</v>
      </c>
      <c r="Q233" s="124"/>
      <c r="V233" s="124">
        <v>44256</v>
      </c>
      <c r="W233" s="223">
        <v>0.3032</v>
      </c>
    </row>
    <row r="234" spans="1:23" ht="15.75">
      <c r="A234" s="124">
        <v>44287</v>
      </c>
      <c r="B234" s="126">
        <v>4.1366</v>
      </c>
      <c r="C234" s="126">
        <v>4.5658</v>
      </c>
      <c r="D234" s="126">
        <v>3.8212</v>
      </c>
      <c r="H234" s="124">
        <v>44287</v>
      </c>
      <c r="I234" s="135">
        <f t="shared" si="7"/>
        <v>-0.0077</v>
      </c>
      <c r="J234" s="133">
        <f t="shared" si="6"/>
        <v>-0.0052</v>
      </c>
      <c r="K234" s="134">
        <f t="shared" si="7"/>
        <v>0.0025</v>
      </c>
      <c r="L234" s="193">
        <v>0.0021</v>
      </c>
      <c r="Q234" s="124"/>
      <c r="V234" s="124">
        <v>44287</v>
      </c>
      <c r="W234" s="223">
        <v>0.2928</v>
      </c>
    </row>
    <row r="235" spans="1:23" ht="15.75">
      <c r="A235" s="124">
        <v>44317</v>
      </c>
      <c r="B235" s="126">
        <v>4.1305</v>
      </c>
      <c r="C235" s="126">
        <v>4.5301</v>
      </c>
      <c r="D235" s="126">
        <v>3.7292</v>
      </c>
      <c r="H235" s="124">
        <v>44317</v>
      </c>
      <c r="I235" s="135">
        <f t="shared" si="7"/>
        <v>-0.0077</v>
      </c>
      <c r="J235" s="133">
        <f t="shared" si="6"/>
        <v>-0.0052</v>
      </c>
      <c r="K235" s="134">
        <f t="shared" si="7"/>
        <v>0.0025</v>
      </c>
      <c r="L235" s="193">
        <v>0.0021</v>
      </c>
      <c r="Q235" s="124"/>
      <c r="V235" s="124">
        <v>44317</v>
      </c>
      <c r="W235" s="223">
        <v>0.2889</v>
      </c>
    </row>
    <row r="236" spans="1:23" ht="15.75">
      <c r="A236" s="124">
        <v>44348</v>
      </c>
      <c r="B236" s="126">
        <v>4.1152</v>
      </c>
      <c r="C236" s="126">
        <v>4.5015</v>
      </c>
      <c r="D236" s="126">
        <v>3.7375</v>
      </c>
      <c r="H236" s="124">
        <v>44348</v>
      </c>
      <c r="I236" s="135">
        <f aca="true" t="shared" si="9" ref="I236:I241">I235</f>
        <v>-0.0077</v>
      </c>
      <c r="J236" s="133">
        <f t="shared" si="6"/>
        <v>-0.0052</v>
      </c>
      <c r="K236" s="134">
        <v>0.0013</v>
      </c>
      <c r="L236" s="193">
        <v>0.0021</v>
      </c>
      <c r="Q236" s="124"/>
      <c r="V236" s="124">
        <v>44348</v>
      </c>
      <c r="W236" s="223">
        <v>0.2877</v>
      </c>
    </row>
    <row r="237" spans="1:23" ht="15.75">
      <c r="A237" s="124">
        <v>44378</v>
      </c>
      <c r="B237" s="126">
        <v>4.2033</v>
      </c>
      <c r="C237" s="126">
        <v>4.563</v>
      </c>
      <c r="D237" s="126">
        <v>3.8592</v>
      </c>
      <c r="H237" s="124">
        <v>44378</v>
      </c>
      <c r="I237" s="135">
        <f t="shared" si="9"/>
        <v>-0.0077</v>
      </c>
      <c r="J237" s="133">
        <f t="shared" si="6"/>
        <v>-0.0052</v>
      </c>
      <c r="K237" s="134">
        <f t="shared" si="7"/>
        <v>0.0013</v>
      </c>
      <c r="L237" s="193">
        <v>0.0021</v>
      </c>
      <c r="Q237" s="124"/>
      <c r="V237" s="124">
        <v>44378</v>
      </c>
      <c r="W237" s="223">
        <v>0.2825</v>
      </c>
    </row>
    <row r="238" spans="1:23" ht="15.75">
      <c r="A238" s="124">
        <v>44409</v>
      </c>
      <c r="B238" s="126">
        <v>4.2465</v>
      </c>
      <c r="C238" s="126">
        <v>4.57</v>
      </c>
      <c r="D238" s="126">
        <v>3.8835</v>
      </c>
      <c r="H238" s="124">
        <v>44409</v>
      </c>
      <c r="I238" s="135">
        <f t="shared" si="9"/>
        <v>-0.0077</v>
      </c>
      <c r="J238" s="133">
        <f t="shared" si="6"/>
        <v>-0.0052</v>
      </c>
      <c r="K238" s="134">
        <f t="shared" si="7"/>
        <v>0.0013</v>
      </c>
      <c r="L238" s="193">
        <v>0.0021</v>
      </c>
      <c r="Q238" s="124"/>
      <c r="V238" s="124">
        <v>44409</v>
      </c>
      <c r="W238" s="223">
        <v>0.2787</v>
      </c>
    </row>
    <row r="239" spans="1:23" ht="15.75">
      <c r="A239" s="124">
        <v>44440</v>
      </c>
      <c r="B239" s="126">
        <v>4.2043</v>
      </c>
      <c r="C239" s="126">
        <v>4.5664</v>
      </c>
      <c r="D239" s="126">
        <v>3.8755</v>
      </c>
      <c r="H239" s="124">
        <v>44440</v>
      </c>
      <c r="I239" s="134">
        <f t="shared" si="9"/>
        <v>-0.0077</v>
      </c>
      <c r="J239" s="133">
        <f t="shared" si="6"/>
        <v>-0.0052</v>
      </c>
      <c r="K239" s="134">
        <f>K238</f>
        <v>0.0013</v>
      </c>
      <c r="L239" s="193">
        <v>0.0024</v>
      </c>
      <c r="Q239" s="124"/>
      <c r="V239" s="124">
        <v>44440</v>
      </c>
      <c r="W239" s="223">
        <v>0.2698</v>
      </c>
    </row>
    <row r="240" spans="1:23" ht="15.75">
      <c r="A240" s="124">
        <v>44470</v>
      </c>
      <c r="B240" s="180">
        <v>4.2895</v>
      </c>
      <c r="C240" s="180">
        <v>4.5952</v>
      </c>
      <c r="D240" s="180">
        <v>3.9607</v>
      </c>
      <c r="H240" s="124">
        <v>44470</v>
      </c>
      <c r="I240" s="145">
        <f t="shared" si="9"/>
        <v>-0.0077</v>
      </c>
      <c r="J240" s="145">
        <f>J239</f>
        <v>-0.0052</v>
      </c>
      <c r="K240" s="145">
        <f>K239</f>
        <v>0.0013</v>
      </c>
      <c r="L240" s="194">
        <v>0.0061</v>
      </c>
      <c r="V240" s="124">
        <v>44470</v>
      </c>
      <c r="W240" s="223">
        <v>0.256</v>
      </c>
    </row>
    <row r="241" spans="1:23" ht="15.75">
      <c r="A241" s="124">
        <v>44501</v>
      </c>
      <c r="B241" s="180">
        <v>4.4221</v>
      </c>
      <c r="C241" s="180">
        <v>4.6508</v>
      </c>
      <c r="D241" s="180">
        <v>4.0755</v>
      </c>
      <c r="H241" s="124">
        <v>44501</v>
      </c>
      <c r="I241" s="145">
        <f t="shared" si="9"/>
        <v>-0.0077</v>
      </c>
      <c r="J241" s="145">
        <f>J240</f>
        <v>-0.0052</v>
      </c>
      <c r="K241" s="145">
        <f>K240</f>
        <v>0.0013</v>
      </c>
      <c r="L241" s="194">
        <v>0.0159</v>
      </c>
      <c r="V241" s="124">
        <v>44501</v>
      </c>
      <c r="W241" s="223">
        <v>0.2436</v>
      </c>
    </row>
    <row r="242" spans="1:23" ht="15.75">
      <c r="A242" s="124">
        <v>44531</v>
      </c>
      <c r="B242" s="192">
        <v>4.4354</v>
      </c>
      <c r="C242" s="192">
        <v>4.6163</v>
      </c>
      <c r="D242" s="192">
        <v>4.0834</v>
      </c>
      <c r="H242" s="124">
        <f>A242</f>
        <v>44531</v>
      </c>
      <c r="I242" s="145">
        <f aca="true" t="shared" si="10" ref="I242">I241</f>
        <v>-0.0077</v>
      </c>
      <c r="J242" s="145">
        <f>J241</f>
        <v>-0.0052</v>
      </c>
      <c r="K242" s="145">
        <f>K241</f>
        <v>0.0013</v>
      </c>
      <c r="L242" s="195">
        <v>0.0234</v>
      </c>
      <c r="V242" s="124">
        <v>44531</v>
      </c>
      <c r="W242" s="223">
        <v>0.2325</v>
      </c>
    </row>
    <row r="243" spans="1:23" ht="15.75">
      <c r="A243" s="124">
        <v>44562</v>
      </c>
      <c r="B243" s="180">
        <v>4.3818</v>
      </c>
      <c r="C243" s="180">
        <v>4.5548</v>
      </c>
      <c r="D243" s="180">
        <v>4.0239</v>
      </c>
      <c r="H243" s="124">
        <f>A243</f>
        <v>44562</v>
      </c>
      <c r="I243" s="145">
        <f>I242</f>
        <v>-0.0077</v>
      </c>
      <c r="J243" s="145">
        <f>J242</f>
        <v>-0.0052</v>
      </c>
      <c r="K243" s="145">
        <f>K242</f>
        <v>0.0013</v>
      </c>
      <c r="L243" s="145">
        <v>0.0251</v>
      </c>
      <c r="M243" s="127" t="s">
        <v>115</v>
      </c>
      <c r="V243" s="124">
        <v>44562</v>
      </c>
      <c r="W243" s="223">
        <v>0.2095</v>
      </c>
    </row>
    <row r="244" spans="1:23" ht="15.75">
      <c r="A244" s="124">
        <v>44593</v>
      </c>
      <c r="B244" s="128">
        <v>4.3506</v>
      </c>
      <c r="C244" s="128">
        <v>4.5539</v>
      </c>
      <c r="D244" s="128">
        <v>4.0156</v>
      </c>
      <c r="H244" s="124">
        <f aca="true" t="shared" si="11" ref="H244:H245">A244</f>
        <v>44593</v>
      </c>
      <c r="I244" s="145">
        <f aca="true" t="shared" si="12" ref="I244:I248">I243</f>
        <v>-0.0077</v>
      </c>
      <c r="J244" s="145">
        <f aca="true" t="shared" si="13" ref="J244:J247">J243</f>
        <v>-0.0052</v>
      </c>
      <c r="K244" s="145">
        <v>0.0032</v>
      </c>
      <c r="L244" s="145">
        <v>0.03331</v>
      </c>
      <c r="V244" s="124">
        <v>44593</v>
      </c>
      <c r="W244" s="223">
        <v>0.2131</v>
      </c>
    </row>
    <row r="245" spans="1:23" ht="15.75">
      <c r="A245" s="124">
        <v>44621</v>
      </c>
      <c r="B245" s="128">
        <v>4.6498</v>
      </c>
      <c r="C245" s="128">
        <v>4.7603</v>
      </c>
      <c r="D245" s="128">
        <v>4.3207</v>
      </c>
      <c r="H245" s="124">
        <f t="shared" si="11"/>
        <v>44621</v>
      </c>
      <c r="I245" s="145">
        <f t="shared" si="12"/>
        <v>-0.0077</v>
      </c>
      <c r="J245" s="145">
        <f t="shared" si="13"/>
        <v>-0.0052</v>
      </c>
      <c r="K245" s="145">
        <v>0.00523</v>
      </c>
      <c r="L245" s="145">
        <v>0.042674</v>
      </c>
      <c r="V245" s="124">
        <v>44621</v>
      </c>
      <c r="W245" s="223">
        <v>0.1744</v>
      </c>
    </row>
    <row r="246" spans="1:23" ht="15.75">
      <c r="A246" s="124">
        <v>44652</v>
      </c>
      <c r="B246" s="180">
        <v>4.5475</v>
      </c>
      <c r="C246" s="180">
        <v>4.6465</v>
      </c>
      <c r="D246" s="180">
        <v>4.2899</v>
      </c>
      <c r="H246" s="124">
        <f aca="true" t="shared" si="14" ref="H246:H249">A246</f>
        <v>44652</v>
      </c>
      <c r="I246" s="145">
        <f t="shared" si="12"/>
        <v>-0.0077</v>
      </c>
      <c r="J246" s="145">
        <f t="shared" si="13"/>
        <v>-0.0052</v>
      </c>
      <c r="K246" s="145">
        <v>0.0096686</v>
      </c>
      <c r="L246" s="145">
        <v>0.054795</v>
      </c>
      <c r="V246" s="124">
        <v>44652</v>
      </c>
      <c r="W246" s="223">
        <v>0.1513</v>
      </c>
    </row>
    <row r="247" spans="1:23" ht="15.75">
      <c r="A247" s="124">
        <v>44682</v>
      </c>
      <c r="B247" s="180">
        <v>4.4948</v>
      </c>
      <c r="C247" s="180">
        <v>4.6503</v>
      </c>
      <c r="D247" s="180">
        <v>4.3987</v>
      </c>
      <c r="H247" s="124">
        <f t="shared" si="14"/>
        <v>44682</v>
      </c>
      <c r="I247" s="145">
        <f t="shared" si="12"/>
        <v>-0.0077</v>
      </c>
      <c r="J247" s="145">
        <f t="shared" si="13"/>
        <v>-0.0052</v>
      </c>
      <c r="K247" s="145">
        <v>0.01286</v>
      </c>
      <c r="L247" s="145">
        <v>0.0642</v>
      </c>
      <c r="V247" s="124">
        <v>44682</v>
      </c>
      <c r="W247" s="223">
        <v>0.1321</v>
      </c>
    </row>
    <row r="248" spans="1:23" ht="15.75">
      <c r="A248" s="124">
        <v>44713</v>
      </c>
      <c r="B248" s="180">
        <v>4.529</v>
      </c>
      <c r="C248" s="180">
        <v>4.6457</v>
      </c>
      <c r="D248" s="180">
        <v>4.3876</v>
      </c>
      <c r="H248" s="124">
        <f t="shared" si="14"/>
        <v>44713</v>
      </c>
      <c r="I248" s="145">
        <f t="shared" si="12"/>
        <v>-0.0077</v>
      </c>
      <c r="J248" s="145">
        <v>-0.00354</v>
      </c>
      <c r="K248" s="145">
        <v>0.0158043</v>
      </c>
      <c r="L248" s="145">
        <v>0.0685</v>
      </c>
      <c r="V248" s="124">
        <v>44713</v>
      </c>
      <c r="W248" s="223">
        <v>0.1154</v>
      </c>
    </row>
    <row r="249" spans="1:23" ht="15.75">
      <c r="A249" s="124">
        <v>44743</v>
      </c>
      <c r="B249" s="180">
        <v>4.8337</v>
      </c>
      <c r="C249" s="180">
        <v>4.7712</v>
      </c>
      <c r="D249" s="180">
        <v>4.6831</v>
      </c>
      <c r="H249" s="124">
        <f t="shared" si="14"/>
        <v>44743</v>
      </c>
      <c r="I249" s="145">
        <f>I248</f>
        <v>-0.0077</v>
      </c>
      <c r="J249" s="145">
        <v>-0.00191</v>
      </c>
      <c r="K249" s="145">
        <v>0.0227714</v>
      </c>
      <c r="L249" s="145">
        <v>0.0705</v>
      </c>
      <c r="V249" s="124">
        <v>44743</v>
      </c>
      <c r="W249" s="223">
        <v>0.1098</v>
      </c>
    </row>
    <row r="250" spans="1:23" ht="15.75">
      <c r="A250" s="124">
        <v>44774</v>
      </c>
      <c r="B250" s="180">
        <v>4.8714</v>
      </c>
      <c r="C250" s="180">
        <v>4.7216</v>
      </c>
      <c r="D250" s="180">
        <v>4.6578</v>
      </c>
      <c r="H250" s="124">
        <f aca="true" t="shared" si="15" ref="H250:H253">A250</f>
        <v>44774</v>
      </c>
      <c r="I250" s="145">
        <f aca="true" t="shared" si="16" ref="I250:I253">I249</f>
        <v>-0.0077</v>
      </c>
      <c r="J250" s="145">
        <v>0.00267</v>
      </c>
      <c r="K250" s="145">
        <v>0.0278</v>
      </c>
      <c r="L250" s="145">
        <f>L249</f>
        <v>0.0705</v>
      </c>
      <c r="V250" s="124">
        <v>44774</v>
      </c>
      <c r="W250" s="223">
        <v>0.101</v>
      </c>
    </row>
    <row r="251" spans="1:23" ht="15.75">
      <c r="A251" s="124">
        <v>44805</v>
      </c>
      <c r="B251" s="128">
        <v>4.9137</v>
      </c>
      <c r="C251" s="128">
        <v>4.739</v>
      </c>
      <c r="D251" s="128">
        <v>4.7784</v>
      </c>
      <c r="H251" s="124">
        <f t="shared" si="15"/>
        <v>44805</v>
      </c>
      <c r="I251" s="145">
        <f t="shared" si="16"/>
        <v>-0.0077</v>
      </c>
      <c r="J251" s="145">
        <v>0.0062</v>
      </c>
      <c r="K251" s="145">
        <v>0.0308</v>
      </c>
      <c r="L251" s="145">
        <f aca="true" t="shared" si="17" ref="L251:L253">L250</f>
        <v>0.0705</v>
      </c>
      <c r="V251" s="124">
        <v>44805</v>
      </c>
      <c r="W251" s="223">
        <v>0.0837</v>
      </c>
    </row>
    <row r="252" spans="1:23" ht="15.75">
      <c r="A252" s="124">
        <v>44835</v>
      </c>
      <c r="B252" s="128">
        <v>4.917</v>
      </c>
      <c r="C252" s="128">
        <v>4.8088</v>
      </c>
      <c r="D252" s="128">
        <v>4.8939</v>
      </c>
      <c r="H252" s="124">
        <f t="shared" si="15"/>
        <v>44835</v>
      </c>
      <c r="I252" s="145">
        <f t="shared" si="16"/>
        <v>-0.0077</v>
      </c>
      <c r="J252" s="145">
        <v>0.0116</v>
      </c>
      <c r="K252" s="145">
        <v>0.0374</v>
      </c>
      <c r="L252" s="145">
        <v>0.0718</v>
      </c>
      <c r="V252" s="124">
        <v>44835</v>
      </c>
      <c r="W252" s="223">
        <v>0.0645</v>
      </c>
    </row>
    <row r="253" spans="1:23" ht="15.75">
      <c r="A253" s="124">
        <v>44866</v>
      </c>
      <c r="B253" s="128">
        <v>4.7704</v>
      </c>
      <c r="C253" s="128">
        <v>4.6977</v>
      </c>
      <c r="D253" s="128">
        <v>4.6226</v>
      </c>
      <c r="H253" s="124">
        <f t="shared" si="15"/>
        <v>44866</v>
      </c>
      <c r="I253" s="145">
        <f t="shared" si="16"/>
        <v>-0.0077</v>
      </c>
      <c r="J253" s="145">
        <f>J252</f>
        <v>0.0116</v>
      </c>
      <c r="K253" s="145">
        <f>K252</f>
        <v>0.0374</v>
      </c>
      <c r="L253" s="145">
        <f t="shared" si="17"/>
        <v>0.0718</v>
      </c>
      <c r="V253" s="124">
        <v>44866</v>
      </c>
      <c r="W253" s="223">
        <v>0.0571</v>
      </c>
    </row>
    <row r="254" spans="1:23" ht="15.75">
      <c r="A254" s="124">
        <v>44896</v>
      </c>
      <c r="B254" s="128">
        <v>4.7441</v>
      </c>
      <c r="C254" s="128">
        <v>4.6798</v>
      </c>
      <c r="D254" s="128">
        <v>4.4209</v>
      </c>
      <c r="H254" s="124">
        <f aca="true" t="shared" si="18" ref="H254">A254</f>
        <v>44896</v>
      </c>
      <c r="I254" s="145">
        <v>0.002798</v>
      </c>
      <c r="J254" s="145">
        <v>0.01984</v>
      </c>
      <c r="K254" s="145">
        <v>0.0476057</v>
      </c>
      <c r="L254" s="145">
        <v>0.0731</v>
      </c>
      <c r="V254" s="124">
        <v>44896</v>
      </c>
      <c r="W254" s="223">
        <v>0.0561</v>
      </c>
    </row>
    <row r="255" spans="1:23" ht="15.75">
      <c r="A255" s="124">
        <v>44927</v>
      </c>
      <c r="B255" s="128">
        <v>4.717</v>
      </c>
      <c r="C255" s="128">
        <v>4.6968</v>
      </c>
      <c r="D255" s="128">
        <v>4.3571</v>
      </c>
      <c r="H255" s="124">
        <f aca="true" t="shared" si="19" ref="H255:H256">A255</f>
        <v>44927</v>
      </c>
      <c r="I255" s="145">
        <v>0.007026</v>
      </c>
      <c r="J255" s="145">
        <v>0.01984</v>
      </c>
      <c r="K255" s="145">
        <v>0.0476057</v>
      </c>
      <c r="L255" s="145">
        <v>0.0695</v>
      </c>
      <c r="V255" s="124">
        <v>44927</v>
      </c>
      <c r="W255" s="223">
        <v>0.0303</v>
      </c>
    </row>
    <row r="256" spans="1:23" ht="15.75">
      <c r="A256" s="124">
        <v>44958</v>
      </c>
      <c r="B256" s="128">
        <v>4.7867</v>
      </c>
      <c r="C256" s="128">
        <v>4.7427</v>
      </c>
      <c r="D256" s="128">
        <v>4.4264</v>
      </c>
      <c r="H256" s="124">
        <f t="shared" si="19"/>
        <v>44958</v>
      </c>
      <c r="I256" s="145">
        <v>0.008612</v>
      </c>
      <c r="J256" s="145">
        <v>0.027024</v>
      </c>
      <c r="K256" s="145">
        <v>0.0496243</v>
      </c>
      <c r="L256" s="145">
        <v>0.0694</v>
      </c>
      <c r="N256" s="123" t="s">
        <v>164</v>
      </c>
      <c r="O256" s="123" t="s">
        <v>165</v>
      </c>
      <c r="V256" s="124">
        <v>44958</v>
      </c>
      <c r="W256" s="223">
        <v>0.0181</v>
      </c>
    </row>
    <row r="257" spans="1:23" ht="15.75">
      <c r="A257" s="124">
        <v>44986</v>
      </c>
      <c r="B257" s="128">
        <v>4.7409</v>
      </c>
      <c r="C257" s="128">
        <v>4.6925</v>
      </c>
      <c r="D257" s="128">
        <v>4.3914</v>
      </c>
      <c r="H257" s="124">
        <f aca="true" t="shared" si="20" ref="H257:H258">A257</f>
        <v>44986</v>
      </c>
      <c r="I257" s="145">
        <v>0.009792</v>
      </c>
      <c r="J257" s="145">
        <v>0.030384</v>
      </c>
      <c r="K257" s="145">
        <v>0.0496243</v>
      </c>
      <c r="L257" s="145">
        <v>0.0694</v>
      </c>
      <c r="N257" s="232">
        <v>-0.000136</v>
      </c>
      <c r="O257" s="232">
        <v>3.1E-05</v>
      </c>
      <c r="V257" s="124">
        <v>44986</v>
      </c>
      <c r="W257" s="223">
        <v>0.007</v>
      </c>
    </row>
    <row r="258" spans="1:23" ht="15.75">
      <c r="A258" s="124">
        <v>45017</v>
      </c>
      <c r="B258" s="128">
        <v>4.7102</v>
      </c>
      <c r="C258" s="128">
        <v>4.6414</v>
      </c>
      <c r="D258" s="128">
        <v>4.2333</v>
      </c>
      <c r="H258" s="124">
        <f t="shared" si="20"/>
        <v>45017</v>
      </c>
      <c r="I258" s="145">
        <v>0.009792</v>
      </c>
      <c r="J258" s="145">
        <v>0.030384</v>
      </c>
      <c r="K258" s="145">
        <v>0.0517657</v>
      </c>
      <c r="L258" s="145">
        <v>0.069</v>
      </c>
      <c r="N258" s="232"/>
      <c r="O258" s="232"/>
      <c r="V258" s="233">
        <f>H258</f>
        <v>45017</v>
      </c>
      <c r="W258" s="234"/>
    </row>
  </sheetData>
  <hyperlinks>
    <hyperlink ref="R2" r:id="rId1" display="https://www.knf.gov.pl/dla_rynku/sad_polubowny_przy_KNF/mediacja/marza?articleId=72862&amp;p_id=18"/>
    <hyperlink ref="M8" r:id="rId2" display="https://www.mbank.pl/indywidualny/kredyty/kredyty-hipoteczne/mam-kredyt-hipoteczny/#wibor"/>
    <hyperlink ref="W2" r:id="rId3" display="https://stat.gov.pl/obszary-tematyczne/ceny-handel/wskazniki-cen/wskazniki-cen-towarow-i-uslug-konsumpcyjnych-pot-inflacja-/miesieczne-wskazniki-cen-towarow-i-uslug-konsumpcyjnych-od-1982-rok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 Czabanski</cp:lastModifiedBy>
  <dcterms:created xsi:type="dcterms:W3CDTF">2015-02-25T19:10:48Z</dcterms:created>
  <dcterms:modified xsi:type="dcterms:W3CDTF">2023-05-26T16:01:01Z</dcterms:modified>
  <cp:category/>
  <cp:version/>
  <cp:contentType/>
  <cp:contentStatus/>
</cp:coreProperties>
</file>